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 ROVEDA\LICITAÇÕES 2026\Pregão - Limpeza praças\"/>
    </mc:Choice>
  </mc:AlternateContent>
  <bookViews>
    <workbookView xWindow="0" yWindow="0" windowWidth="12525" windowHeight="4665" tabRatio="802"/>
  </bookViews>
  <sheets>
    <sheet name="Resumo " sheetId="28" r:id="rId1"/>
    <sheet name="1. Serv. Gerais" sheetId="38" r:id="rId2"/>
    <sheet name="2. Serv. Gerai 12 x 36" sheetId="40" r:id="rId3"/>
    <sheet name="3.Encargos Sociais" sheetId="8" r:id="rId4"/>
    <sheet name="4.BDI" sheetId="4" r:id="rId5"/>
  </sheets>
  <definedNames>
    <definedName name="AbaDeprec" localSheetId="1">#REF!</definedName>
    <definedName name="AbaDeprec" localSheetId="2">#REF!</definedName>
    <definedName name="AbaDeprec">#REF!</definedName>
    <definedName name="AbaRemun" localSheetId="1">#REF!</definedName>
    <definedName name="AbaRemun" localSheetId="2">#REF!</definedName>
    <definedName name="AbaRemun">#REF!</definedName>
    <definedName name="_xlnm.Print_Area" localSheetId="1">'1. Serv. Gerais'!$A$1:$F$165</definedName>
    <definedName name="_xlnm.Print_Area" localSheetId="2">'2. Serv. Gerai 12 x 36'!$A$1:$F$107</definedName>
    <definedName name="_xlnm.Print_Area" localSheetId="3">'3.Encargos Sociais'!$A$1:$C$36</definedName>
    <definedName name="Horário" localSheetId="2">#REF!</definedName>
    <definedName name="Horário">#REF!</definedName>
    <definedName name="_xlnm.Print_Titles" localSheetId="1">'1. Serv. Gerais'!$1:$1</definedName>
    <definedName name="_xlnm.Print_Titles" localSheetId="2">'2. Serv. Gerai 12 x 36'!$1:$1</definedName>
  </definedNames>
  <calcPr calcId="152511"/>
</workbook>
</file>

<file path=xl/calcChain.xml><?xml version="1.0" encoding="utf-8"?>
<calcChain xmlns="http://schemas.openxmlformats.org/spreadsheetml/2006/main">
  <c r="F151" i="38" l="1"/>
  <c r="E148" i="38" l="1"/>
  <c r="E114" i="38"/>
  <c r="E115" i="38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 l="1"/>
  <c r="E53" i="40"/>
  <c r="E102" i="38"/>
  <c r="E104" i="38" s="1"/>
  <c r="E72" i="38"/>
  <c r="E71" i="38"/>
  <c r="C51" i="38"/>
  <c r="C106" i="38" l="1"/>
  <c r="A19" i="38" l="1"/>
  <c r="A18" i="38"/>
  <c r="A17" i="38"/>
  <c r="E147" i="38" l="1"/>
  <c r="E146" i="38"/>
  <c r="E145" i="38"/>
  <c r="E144" i="38"/>
  <c r="E143" i="38"/>
  <c r="E142" i="38"/>
  <c r="E141" i="38"/>
  <c r="F148" i="38" l="1"/>
  <c r="E19" i="38" s="1"/>
  <c r="F137" i="38"/>
  <c r="F149" i="38" l="1"/>
  <c r="E18" i="38"/>
  <c r="C63" i="38"/>
  <c r="C62" i="38"/>
  <c r="E62" i="38" s="1"/>
  <c r="C56" i="38"/>
  <c r="E17" i="38" l="1"/>
  <c r="E82" i="40"/>
  <c r="E95" i="38" l="1"/>
  <c r="E80" i="40" l="1"/>
  <c r="E79" i="40"/>
  <c r="E78" i="40"/>
  <c r="E77" i="40"/>
  <c r="E76" i="40"/>
  <c r="E75" i="40"/>
  <c r="E74" i="40"/>
  <c r="E73" i="40"/>
  <c r="E72" i="40"/>
  <c r="E71" i="40"/>
  <c r="E70" i="40"/>
  <c r="E69" i="40"/>
  <c r="E68" i="40"/>
  <c r="E83" i="38"/>
  <c r="E82" i="38"/>
  <c r="E81" i="38"/>
  <c r="E80" i="38"/>
  <c r="E79" i="38"/>
  <c r="E78" i="38"/>
  <c r="E77" i="38"/>
  <c r="E76" i="38"/>
  <c r="E75" i="38"/>
  <c r="E74" i="38"/>
  <c r="E73" i="38"/>
  <c r="E107" i="38"/>
  <c r="E106" i="38"/>
  <c r="C100" i="38"/>
  <c r="E96" i="38"/>
  <c r="E94" i="38"/>
  <c r="E93" i="38"/>
  <c r="E92" i="38"/>
  <c r="E91" i="38"/>
  <c r="D99" i="38" s="1"/>
  <c r="E99" i="38" l="1"/>
  <c r="D100" i="38" s="1"/>
  <c r="E100" i="38" s="1"/>
  <c r="F109" i="38" s="1"/>
  <c r="D54" i="40"/>
  <c r="B23" i="38"/>
  <c r="E34" i="38" s="1"/>
  <c r="E85" i="38" s="1"/>
  <c r="C60" i="40"/>
  <c r="E60" i="40" s="1"/>
  <c r="D53" i="40"/>
  <c r="E42" i="40"/>
  <c r="E63" i="38" l="1"/>
  <c r="F64" i="38" s="1"/>
  <c r="D57" i="38"/>
  <c r="D56" i="38"/>
  <c r="E56" i="38" s="1"/>
  <c r="B20" i="40" l="1"/>
  <c r="E32" i="40" s="1"/>
  <c r="C48" i="40"/>
  <c r="E89" i="40" l="1"/>
  <c r="E88" i="40"/>
  <c r="F90" i="40" s="1"/>
  <c r="E16" i="40" s="1"/>
  <c r="C81" i="40"/>
  <c r="C59" i="40"/>
  <c r="E59" i="40" s="1"/>
  <c r="E54" i="40"/>
  <c r="C53" i="40"/>
  <c r="E37" i="40"/>
  <c r="E36" i="40"/>
  <c r="E25" i="40"/>
  <c r="A17" i="40"/>
  <c r="A16" i="40"/>
  <c r="A15" i="40"/>
  <c r="A14" i="40"/>
  <c r="A13" i="40"/>
  <c r="A12" i="40"/>
  <c r="A11" i="40"/>
  <c r="A10" i="40"/>
  <c r="A9" i="40"/>
  <c r="A8" i="40"/>
  <c r="F61" i="40" l="1"/>
  <c r="E13" i="40" s="1"/>
  <c r="E38" i="40"/>
  <c r="D39" i="40" s="1"/>
  <c r="D48" i="40"/>
  <c r="E48" i="40" s="1"/>
  <c r="F49" i="40" s="1"/>
  <c r="E11" i="40" s="1"/>
  <c r="D26" i="40"/>
  <c r="E26" i="40" s="1"/>
  <c r="D81" i="40"/>
  <c r="E81" i="40" s="1"/>
  <c r="F82" i="40" s="1"/>
  <c r="F84" i="40" s="1"/>
  <c r="E14" i="40" s="1"/>
  <c r="F55" i="40"/>
  <c r="D27" i="40"/>
  <c r="E27" i="40" s="1"/>
  <c r="E12" i="40" l="1"/>
  <c r="E28" i="40"/>
  <c r="D29" i="40" s="1"/>
  <c r="E15" i="40"/>
  <c r="C84" i="38" l="1"/>
  <c r="E57" i="38"/>
  <c r="E40" i="38"/>
  <c r="E38" i="38"/>
  <c r="E28" i="38"/>
  <c r="A20" i="38"/>
  <c r="A16" i="38"/>
  <c r="A15" i="38"/>
  <c r="A14" i="38"/>
  <c r="A13" i="38"/>
  <c r="A12" i="38"/>
  <c r="A11" i="38"/>
  <c r="A10" i="38"/>
  <c r="A9" i="38"/>
  <c r="A8" i="38"/>
  <c r="D39" i="38" l="1"/>
  <c r="E39" i="38" s="1"/>
  <c r="E41" i="38" s="1"/>
  <c r="D42" i="38" s="1"/>
  <c r="E13" i="38"/>
  <c r="E16" i="38"/>
  <c r="C7" i="28"/>
  <c r="D84" i="38"/>
  <c r="E84" i="38" s="1"/>
  <c r="F85" i="38" s="1"/>
  <c r="F87" i="38" s="1"/>
  <c r="E14" i="38" s="1"/>
  <c r="F58" i="38"/>
  <c r="E12" i="38" s="1"/>
  <c r="D29" i="38"/>
  <c r="E29" i="38" s="1"/>
  <c r="D31" i="38" s="1"/>
  <c r="D51" i="38"/>
  <c r="E51" i="38" s="1"/>
  <c r="F52" i="38" l="1"/>
  <c r="E11" i="38" s="1"/>
  <c r="E15" i="38"/>
  <c r="E30" i="38"/>
  <c r="C32" i="8" l="1"/>
  <c r="C13" i="4" l="1"/>
  <c r="E11" i="4" l="1"/>
  <c r="C14" i="8"/>
  <c r="C18" i="4" l="1"/>
  <c r="C97" i="40" l="1"/>
  <c r="C155" i="38"/>
  <c r="C22" i="8"/>
  <c r="C31" i="8" s="1"/>
  <c r="C35" i="8" s="1"/>
  <c r="C33" i="8" l="1"/>
  <c r="C29" i="8"/>
  <c r="C34" i="8" l="1"/>
  <c r="C39" i="40" l="1"/>
  <c r="E39" i="40" s="1"/>
  <c r="E40" i="40" s="1"/>
  <c r="D41" i="40" s="1"/>
  <c r="E41" i="40" s="1"/>
  <c r="F42" i="40" s="1"/>
  <c r="E10" i="40" s="1"/>
  <c r="C29" i="40"/>
  <c r="E29" i="40" s="1"/>
  <c r="E30" i="40" s="1"/>
  <c r="D31" i="40" s="1"/>
  <c r="C42" i="38"/>
  <c r="E42" i="38" s="1"/>
  <c r="E43" i="38" s="1"/>
  <c r="D44" i="38" s="1"/>
  <c r="E44" i="38" s="1"/>
  <c r="F45" i="38" s="1"/>
  <c r="E10" i="38" s="1"/>
  <c r="C31" i="38"/>
  <c r="E31" i="38" s="1"/>
  <c r="F32" i="40" l="1"/>
  <c r="E31" i="40"/>
  <c r="F34" i="38"/>
  <c r="F66" i="38" s="1"/>
  <c r="E32" i="38"/>
  <c r="D33" i="38" s="1"/>
  <c r="E33" i="38" s="1"/>
  <c r="F63" i="40" l="1"/>
  <c r="E9" i="40"/>
  <c r="E9" i="38"/>
  <c r="F93" i="40" l="1"/>
  <c r="D97" i="40" s="1"/>
  <c r="E97" i="40" s="1"/>
  <c r="F99" i="40" s="1"/>
  <c r="E17" i="40" s="1"/>
  <c r="E8" i="40"/>
  <c r="E8" i="38"/>
  <c r="D155" i="38"/>
  <c r="E18" i="40" l="1"/>
  <c r="F8" i="40" s="1"/>
  <c r="E155" i="38"/>
  <c r="F157" i="38" s="1"/>
  <c r="F101" i="40"/>
  <c r="F159" i="38" l="1"/>
  <c r="D4" i="28" s="1"/>
  <c r="E20" i="38"/>
  <c r="F103" i="40"/>
  <c r="F105" i="40" s="1"/>
  <c r="D5" i="28"/>
  <c r="E5" i="28" s="1"/>
  <c r="F17" i="40"/>
  <c r="F12" i="40"/>
  <c r="F11" i="40"/>
  <c r="F14" i="40"/>
  <c r="F18" i="40" s="1"/>
  <c r="F15" i="40"/>
  <c r="F13" i="40"/>
  <c r="F16" i="40"/>
  <c r="F10" i="40"/>
  <c r="F9" i="40"/>
  <c r="E21" i="38"/>
  <c r="F17" i="38" s="1"/>
  <c r="F161" i="38" l="1"/>
  <c r="F163" i="38" s="1"/>
  <c r="F8" i="38"/>
  <c r="F12" i="38"/>
  <c r="F11" i="38"/>
  <c r="F19" i="38"/>
  <c r="F13" i="38"/>
  <c r="F20" i="38"/>
  <c r="F16" i="38"/>
  <c r="F9" i="38"/>
  <c r="F18" i="38"/>
  <c r="F14" i="38"/>
  <c r="F10" i="38"/>
  <c r="F15" i="38"/>
  <c r="E4" i="28"/>
  <c r="D7" i="28"/>
  <c r="F21" i="38" l="1"/>
</calcChain>
</file>

<file path=xl/comments1.xml><?xml version="1.0" encoding="utf-8"?>
<comments xmlns="http://schemas.openxmlformats.org/spreadsheetml/2006/main">
  <authors>
    <author>Clauber Bridi</author>
  </authors>
  <commentList>
    <comment ref="D7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D6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6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7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</commentList>
</comments>
</file>

<file path=xl/sharedStrings.xml><?xml version="1.0" encoding="utf-8"?>
<sst xmlns="http://schemas.openxmlformats.org/spreadsheetml/2006/main" count="516" uniqueCount="250">
  <si>
    <t>Adicional de Insalubridade</t>
  </si>
  <si>
    <t>%</t>
  </si>
  <si>
    <t>Soma</t>
  </si>
  <si>
    <t>Encargos Sociais</t>
  </si>
  <si>
    <t>Total do Efetivo</t>
  </si>
  <si>
    <t>homem</t>
  </si>
  <si>
    <t>mês</t>
  </si>
  <si>
    <t>unidade</t>
  </si>
  <si>
    <t>Benefícios e despesas indiretas</t>
  </si>
  <si>
    <t>Custo (R$/mês)</t>
  </si>
  <si>
    <t>Quantidade</t>
  </si>
  <si>
    <t>INSS</t>
  </si>
  <si>
    <t>FGTS</t>
  </si>
  <si>
    <t>2. Uniformes e Equipamentos de Proteção Individual</t>
  </si>
  <si>
    <t>1. Mão-de-obra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</si>
  <si>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</si>
  <si>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</si>
  <si>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</si>
  <si>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</si>
  <si>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</si>
  <si>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</si>
  <si>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</si>
  <si>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</si>
  <si>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</si>
  <si>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</si>
  <si>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</si>
  <si>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</si>
  <si>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</si>
  <si>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</si>
  <si>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</si>
  <si>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</si>
  <si>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</si>
  <si>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</si>
  <si>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</si>
  <si>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</si>
  <si>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</si>
  <si>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</si>
  <si>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</si>
  <si>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</si>
  <si>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</si>
  <si>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</si>
  <si>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</si>
  <si>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</si>
  <si>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</si>
  <si>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</si>
  <si>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</si>
  <si>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</si>
  <si>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</si>
  <si>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</si>
  <si>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</si>
  <si>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</si>
  <si>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</si>
  <si>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</si>
  <si>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</si>
  <si>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</si>
  <si>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</si>
  <si>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</si>
  <si>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</si>
  <si>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</si>
  <si>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</si>
  <si>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</si>
  <si>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</si>
  <si>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</si>
  <si>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</si>
  <si>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</si>
  <si>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</si>
  <si>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</si>
  <si>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</si>
  <si>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</si>
  <si>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</si>
  <si>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</si>
  <si>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</si>
  <si>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</si>
  <si>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</si>
  <si>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</si>
  <si>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</si>
  <si>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</si>
  <si>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</si>
  <si>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</si>
  <si>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</si>
  <si>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</si>
  <si>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</si>
  <si>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Médio</t>
  </si>
  <si>
    <t>DU</t>
  </si>
  <si>
    <t>Fator de utilização (FU)</t>
  </si>
  <si>
    <t>Descrição do Item</t>
  </si>
  <si>
    <t>Orçamento Sintético</t>
  </si>
  <si>
    <t>Orientações para preenchimento:</t>
  </si>
  <si>
    <t>2. Preencher somente células em amarelo</t>
  </si>
  <si>
    <t>Piso da categoria</t>
  </si>
  <si>
    <t>C2</t>
  </si>
  <si>
    <t>B3</t>
  </si>
  <si>
    <t>4. Composição do BDI - Benefícios e Despesas Indiretas</t>
  </si>
  <si>
    <t>Custo unitário</t>
  </si>
  <si>
    <t>Referência estudo TCE</t>
  </si>
  <si>
    <t>1. Esta planilha é somente um modelo-base e deve ser ajustada conforme cada caso concreto.</t>
  </si>
  <si>
    <t>PLANILHA DE CUSTOS</t>
  </si>
  <si>
    <t>Fator de util.</t>
  </si>
  <si>
    <t>1. Custo Mensal com Mão-de-obra</t>
  </si>
  <si>
    <t>2. Custo Mensal com Uniformes e EPIs</t>
  </si>
  <si>
    <t>PREÇO MENSAL TOTAL</t>
  </si>
  <si>
    <t>AC = taxa representativa das despesas de rateio da administração central</t>
  </si>
  <si>
    <t xml:space="preserve">R = taxa representativa de riscos </t>
  </si>
  <si>
    <t xml:space="preserve">S = taxa representativa de seguros </t>
  </si>
  <si>
    <t xml:space="preserve">G = taxa representativa de garantias </t>
  </si>
  <si>
    <t xml:space="preserve">DF = taxa representativa das despesas financeiras </t>
  </si>
  <si>
    <t xml:space="preserve">L = taxa representativa do lucro ou remuneração </t>
  </si>
  <si>
    <t xml:space="preserve">T = taxa representativa da incidência de tributos </t>
  </si>
  <si>
    <t>PREÇO TOTAL MENSAL</t>
  </si>
  <si>
    <t>2.1. Uniformes e EPIs</t>
  </si>
  <si>
    <t xml:space="preserve">Seguro contra acidentes de trabalho </t>
  </si>
  <si>
    <t>1° Quartil</t>
  </si>
  <si>
    <t>SELIC</t>
  </si>
  <si>
    <t xml:space="preserve">Total Geral </t>
  </si>
  <si>
    <t xml:space="preserve">Ordem </t>
  </si>
  <si>
    <t xml:space="preserve">Serviço </t>
  </si>
  <si>
    <t xml:space="preserve">Complemento por ser encarregado </t>
  </si>
  <si>
    <t>Total por funcionário</t>
  </si>
  <si>
    <t>Vale Transporte</t>
  </si>
  <si>
    <t>R$</t>
  </si>
  <si>
    <t>Dias Trabalhados por mês</t>
  </si>
  <si>
    <t>dia</t>
  </si>
  <si>
    <t>vale</t>
  </si>
  <si>
    <t xml:space="preserve">Plano de Benefício Social </t>
  </si>
  <si>
    <t>Calça</t>
  </si>
  <si>
    <t>par</t>
  </si>
  <si>
    <t xml:space="preserve">ÍNDICE REFERÊNCIA CONTA VINCULADA (B1+B2+C1+C2+C3+C4+C5+D1+D2) </t>
  </si>
  <si>
    <t>4. Custo Mensal Com BDI</t>
  </si>
  <si>
    <t xml:space="preserve">mês </t>
  </si>
  <si>
    <t>Planilha de Composição de Custos</t>
  </si>
  <si>
    <t>Durabilidade (meses)</t>
  </si>
  <si>
    <t xml:space="preserve">Instalação para Escritório Administrativo (aluguel e despesas do local) </t>
  </si>
  <si>
    <t xml:space="preserve">PREÇO MENSAL POR HORA </t>
  </si>
  <si>
    <t xml:space="preserve">hrs/func/mês </t>
  </si>
  <si>
    <t>Total por Funcionário</t>
  </si>
  <si>
    <t>Total por Assistente Administrativo</t>
  </si>
  <si>
    <t xml:space="preserve">Quantidade de trabalhadores </t>
  </si>
  <si>
    <t xml:space="preserve">3. Administração Local/Veículo de Apoio </t>
  </si>
  <si>
    <t>Km/rodados/mês</t>
  </si>
  <si>
    <t>Fator de utilização</t>
  </si>
  <si>
    <t>CUSTO TOTAL MENSAL COM DESPESAS OPERACIONAIS (R$/mês)</t>
  </si>
  <si>
    <t xml:space="preserve">Obs: cada empresa deverá prever seus encargos sociais e impostos conforme determina a legislação de sua atividade. </t>
  </si>
  <si>
    <t>Valor PO R$</t>
  </si>
  <si>
    <t xml:space="preserve">Composição dos Encargos Sociais </t>
  </si>
  <si>
    <t>1. Preencha previamente os dados de entrada na planilha</t>
  </si>
  <si>
    <t xml:space="preserve">Intervalo Intrajornada Cfe. Convenção </t>
  </si>
  <si>
    <t>Hrs</t>
  </si>
  <si>
    <t>Auxiliar de Limpeza segunda a domingo 12 x 36</t>
  </si>
  <si>
    <t>Supervisor/Encarregado</t>
  </si>
  <si>
    <t>1.3. Vale Transporte</t>
  </si>
  <si>
    <t>1.2. Supervisor/Encarregado</t>
  </si>
  <si>
    <t xml:space="preserve">1.4. Auxílio Alimentação </t>
  </si>
  <si>
    <t xml:space="preserve">ECZ, Assessoria, Consultoria e Treinamento LTDA.  </t>
  </si>
  <si>
    <t>Valor por Posto R$</t>
  </si>
  <si>
    <t>PREÇO MENSAL POR POSTO DE TRABALHO</t>
  </si>
  <si>
    <t>PREFEITURA MUNICIPAL DE NÃO-ME-TOQUE</t>
  </si>
  <si>
    <t xml:space="preserve">Obs: 20 horas semanais </t>
  </si>
  <si>
    <t xml:space="preserve">1.5. Plano de Benefício Social  e Prêmio Assiduidade </t>
  </si>
  <si>
    <t xml:space="preserve">Prêmio Assiduidade </t>
  </si>
  <si>
    <t>Jaqueta com reflexivo (NBR 15.292)</t>
  </si>
  <si>
    <t>Obs: 01 Postos de Trabalho de Segunda à Domingo (Escala 12 x 36)</t>
  </si>
  <si>
    <t>1- Contratação serviços de Serviços Gerais em Órgãos Públicos de Não-Me-Toque</t>
  </si>
  <si>
    <t xml:space="preserve">1.1. Categoria Profissional Prestador de Serviços de Auxiliar de Auxiliar de Serviços Gerais - CBO 5143 </t>
  </si>
  <si>
    <t>2- Contratação de Auxiliar de Serviços Gerais em Órgãos Públicos de Não-Me-Toque</t>
  </si>
  <si>
    <t>Auxiliar de Serviços Gerais</t>
  </si>
  <si>
    <t>Auxíliar de Serviços Gerais</t>
  </si>
  <si>
    <t>Auxíliar de Serviços Gerais e Jardineiro</t>
  </si>
  <si>
    <t>Auxiliar de Serviços Gerais e Jardineiro</t>
  </si>
  <si>
    <t>Roçadeira costal + regulagem de altura de corte</t>
  </si>
  <si>
    <t xml:space="preserve">Sopradores Costal </t>
  </si>
  <si>
    <t xml:space="preserve">Podador </t>
  </si>
  <si>
    <t xml:space="preserve">Protetor de Tela para Roçada </t>
  </si>
  <si>
    <t>Vida útil</t>
  </si>
  <si>
    <t>anos</t>
  </si>
  <si>
    <t>Idade do equipamento</t>
  </si>
  <si>
    <t>Depreciação</t>
  </si>
  <si>
    <t>Depreciação mensal</t>
  </si>
  <si>
    <t xml:space="preserve">Conjunto </t>
  </si>
  <si>
    <t>meses</t>
  </si>
  <si>
    <t xml:space="preserve">Custo mensal </t>
  </si>
  <si>
    <t>Litros (0,6 litro/hora)</t>
  </si>
  <si>
    <t xml:space="preserve">Camiseta manga curta com reflexivo </t>
  </si>
  <si>
    <t>Camiseta manga longa com reflexivo</t>
  </si>
  <si>
    <t xml:space="preserve">Bermudas </t>
  </si>
  <si>
    <t>Chapeu ou Boné tipo arabé</t>
  </si>
  <si>
    <t>Botina de segurança, ou tênis</t>
  </si>
  <si>
    <t>Meia de algodão com cano alto</t>
  </si>
  <si>
    <t>Capa de chuva amarela com reflexivo</t>
  </si>
  <si>
    <t>Colete reflexivo</t>
  </si>
  <si>
    <t>Luva de proteção</t>
  </si>
  <si>
    <t xml:space="preserve">Óculos de proteção de radiação solar </t>
  </si>
  <si>
    <t>Protetor solar FPS 30</t>
  </si>
  <si>
    <t>frasco 120g</t>
  </si>
  <si>
    <t>Ferramentas conforme Termo Referência (Serviços de jardinagem)</t>
  </si>
  <si>
    <t xml:space="preserve">Cortador de grama </t>
  </si>
  <si>
    <t>Aparador de grama</t>
  </si>
  <si>
    <t>1.2. Vale Transporte</t>
  </si>
  <si>
    <t xml:space="preserve">1.3. Auxílio Alimentação </t>
  </si>
  <si>
    <t>1.4. Plano de Benefício Social  e Prêmio Assiduidade</t>
  </si>
  <si>
    <t>Serviços de limpeza e jardineiro</t>
  </si>
  <si>
    <t>Custo do veículo de apoio (manut/deprec. e comb) 5km/dia</t>
  </si>
  <si>
    <t>Custo de combustível das roçadeiras (média 2 horas dia)</t>
  </si>
  <si>
    <t xml:space="preserve">1.1. Categoria Profissional Prestador de Serviços de Auxiliar de Serviços Gerais - CBO 5143 </t>
  </si>
  <si>
    <t>1.2. Jardineiro CBO 6220/Encarregado</t>
  </si>
  <si>
    <t>4. Materiais de consumo/limpeza</t>
  </si>
  <si>
    <t xml:space="preserve">4.1 Materiais de consumo/limpeza - MENSAL </t>
  </si>
  <si>
    <r>
      <t xml:space="preserve">Total </t>
    </r>
    <r>
      <rPr>
        <b/>
        <u/>
        <sz val="8"/>
        <rFont val="Arial"/>
        <family val="2"/>
      </rPr>
      <t>(R$)</t>
    </r>
  </si>
  <si>
    <t>Água Sanitária - galão de 05 litros</t>
  </si>
  <si>
    <t>Alcool etílico 92,8 (96º) - 01 litro</t>
  </si>
  <si>
    <t>Alcool Gel 70% - galão de 05 litros</t>
  </si>
  <si>
    <t>Copo Plástco - 200 ml - pacote com 100 unidades</t>
  </si>
  <si>
    <t>Pacote</t>
  </si>
  <si>
    <t>Desinfetante 02 litros</t>
  </si>
  <si>
    <t>Detergente - galão de 05 litros</t>
  </si>
  <si>
    <t>Escova de roupa</t>
  </si>
  <si>
    <t>Gel adesivo sanitário</t>
  </si>
  <si>
    <t>Limpador de vidros 500 ml</t>
  </si>
  <si>
    <t>Limpador multiuso 500 ml</t>
  </si>
  <si>
    <t>Papel Higiêncio rolo de 300 metros</t>
  </si>
  <si>
    <t>Rolo</t>
  </si>
  <si>
    <t>Papel Toalha bobina - fardo com 06 bobinas</t>
  </si>
  <si>
    <t>Fardo</t>
  </si>
  <si>
    <t>Pedra Sanitária</t>
  </si>
  <si>
    <t>Sabonete Líquido - 05 litros</t>
  </si>
  <si>
    <t>Sabão em pó - 1 kg</t>
  </si>
  <si>
    <t>sabão em Barra - 400 gramas</t>
  </si>
  <si>
    <t>Saco de pano para Limpeza</t>
  </si>
  <si>
    <t>Saponáceo líquido cremoso</t>
  </si>
  <si>
    <t>Total mensal</t>
  </si>
  <si>
    <t>4.2 Materiais de consumo/limpeza - TRIMESTRAL</t>
  </si>
  <si>
    <t>Pá de lixo</t>
  </si>
  <si>
    <t>Rodo de Borracha</t>
  </si>
  <si>
    <t>Rodo de  esponja</t>
  </si>
  <si>
    <t>Vassoura de Nylon</t>
  </si>
  <si>
    <t>Vassoura Sanitária</t>
  </si>
  <si>
    <t>Total Geral c/despesas de equipamentos e ferramentas mensal</t>
  </si>
  <si>
    <t>5. Benefícios e Despesas Indiretas</t>
  </si>
  <si>
    <t>Custo de manut./reposição dos equipam. e ferramentas  e combustível motossera/podador, fios de nylon e outros</t>
  </si>
  <si>
    <t>Desodorizador de ar 360ml</t>
  </si>
  <si>
    <t>Esponja de louça dupla face</t>
  </si>
  <si>
    <t>Balde Plástico 15 litros</t>
  </si>
  <si>
    <t xml:space="preserve">Flanela em tecido - 100 % algodão </t>
  </si>
  <si>
    <t>Saco lixo - 50 litros c/10unid</t>
  </si>
  <si>
    <t>Saco lixo - 100 litros pct c/5unid</t>
  </si>
  <si>
    <t>Vassoura de Palha</t>
  </si>
  <si>
    <t>Auxiliar de limpeza e Jardineiro</t>
  </si>
  <si>
    <t>Nrº De funcionários</t>
  </si>
  <si>
    <t>PREÇO MENSAL POR FUNCIONÁRIO</t>
  </si>
  <si>
    <t>3. Benefícios e Despesas Indiretas</t>
  </si>
  <si>
    <t>Não-Me-Toque, 05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</si>
</sst>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;[Red]&quot;R$&quot;\ \-#,##0.00"/>
    <numFmt numFmtId="165" formatCode="_ &quot;R$&quot;\ * #,##0.00_ ;_ &quot;R$&quot;\ * \-#,##0.00_ ;_ &quot;R$&quot;\ * &quot;-&quot;??_ ;_ @_ "/>
    <numFmt numFmtId="166" formatCode="&quot;R$ &quot;#,##0.00_);\(&quot;R$ &quot;#,##0.00\)"/>
    <numFmt numFmtId="167" formatCode="_(* #,##0.00_);_(* \(#,##0.00\);_(* &quot;-&quot;??_);_(@_)"/>
    <numFmt numFmtId="168" formatCode="_(* #,##0_);_(* \(#,##0\);_(* &quot;-&quot;??_);_(@_)"/>
    <numFmt numFmtId="169" formatCode="&quot;R$ &quot;#,##0.00"/>
    <numFmt numFmtId="170" formatCode="_(* #,##0.0000_);_(* \(#,##0.0000\);_(* &quot;-&quot;??_);_(@_)"/>
    <numFmt numFmtId="171" formatCode="_-[$R$-416]\ * #,##0.00_-;\-[$R$-416]\ * #,##0.00_-;_-[$R$-416]\ * &quot;-&quot;??_-;_-@_-"/>
    <numFmt numFmtId="172" formatCode="_(* #,##0.00_);_(* \(#,##0.00\);_(* \-??_);_(@_)"/>
    <numFmt numFmtId="173" formatCode="_-[$R$-416]\ * #,##0.00_-;\-[$R$-416]\ * #,##0.00_-;_-[$R$-416]\ * \-??_-;_-@_-"/>
    <numFmt numFmtId="174" formatCode="_-&quot;R$ &quot;* #,##0.00_-;&quot;-R$ &quot;* #,##0.00_-;_-&quot;R$ &quot;* \-??_-;_-@_-"/>
    <numFmt numFmtId="175" formatCode="_(* #,##0_);_(* \(#,##0\);_(* \-??_);_(@_)"/>
    <numFmt numFmtId="176" formatCode="_-&quot;R$&quot;\ * #,##0.00_-;\-&quot;R$&quot;\ * #,##0.00_-;_-&quot;R$&quot;\ * &quot;-&quot;??_-;_-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2" fillId="0" borderId="0"/>
    <xf numFmtId="44" fontId="2" fillId="0" borderId="0" applyFont="0" applyFill="0" applyBorder="0" applyAlignment="0" applyProtection="0"/>
    <xf numFmtId="0" fontId="2" fillId="0" borderId="0"/>
    <xf numFmtId="169" fontId="2" fillId="0" borderId="0" applyBorder="0" applyProtection="0"/>
    <xf numFmtId="9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1" fillId="0" borderId="0"/>
    <xf numFmtId="44" fontId="29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</cellStyleXfs>
  <cellXfs count="361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167" fontId="0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7" fontId="4" fillId="0" borderId="0" xfId="3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67" fontId="4" fillId="0" borderId="6" xfId="3" applyFont="1" applyBorder="1" applyAlignment="1">
      <alignment vertical="center"/>
    </xf>
    <xf numFmtId="167" fontId="4" fillId="0" borderId="0" xfId="3" applyFont="1" applyFill="1" applyBorder="1" applyAlignment="1">
      <alignment horizontal="center" vertical="center"/>
    </xf>
    <xf numFmtId="167" fontId="4" fillId="0" borderId="0" xfId="3" applyFont="1" applyBorder="1" applyAlignment="1">
      <alignment vertical="center"/>
    </xf>
    <xf numFmtId="167" fontId="6" fillId="0" borderId="0" xfId="3" applyFont="1" applyAlignment="1">
      <alignment vertical="center"/>
    </xf>
    <xf numFmtId="167" fontId="0" fillId="0" borderId="9" xfId="3" applyFont="1" applyBorder="1" applyAlignment="1">
      <alignment vertical="center"/>
    </xf>
    <xf numFmtId="167" fontId="4" fillId="0" borderId="10" xfId="3" applyFont="1" applyBorder="1" applyAlignment="1">
      <alignment horizontal="center" vertical="center"/>
    </xf>
    <xf numFmtId="167" fontId="4" fillId="0" borderId="5" xfId="3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Continuous" vertical="center"/>
    </xf>
    <xf numFmtId="167" fontId="4" fillId="0" borderId="0" xfId="3" applyFon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8" xfId="3" applyFont="1" applyBorder="1" applyAlignment="1">
      <alignment vertical="center"/>
    </xf>
    <xf numFmtId="167" fontId="0" fillId="0" borderId="11" xfId="3" applyFont="1" applyBorder="1" applyAlignment="1">
      <alignment vertical="center"/>
    </xf>
    <xf numFmtId="167" fontId="5" fillId="0" borderId="0" xfId="3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67" fontId="10" fillId="2" borderId="14" xfId="3" applyFont="1" applyFill="1" applyBorder="1" applyAlignment="1">
      <alignment horizontal="center" vertical="center"/>
    </xf>
    <xf numFmtId="167" fontId="10" fillId="2" borderId="15" xfId="3" applyFont="1" applyFill="1" applyBorder="1" applyAlignment="1">
      <alignment horizontal="center" vertical="center"/>
    </xf>
    <xf numFmtId="167" fontId="4" fillId="0" borderId="16" xfId="3" applyFont="1" applyBorder="1" applyAlignment="1">
      <alignment horizontal="center" vertical="center"/>
    </xf>
    <xf numFmtId="167" fontId="2" fillId="0" borderId="11" xfId="3" applyFont="1" applyBorder="1" applyAlignment="1">
      <alignment horizontal="left" vertical="center"/>
    </xf>
    <xf numFmtId="0" fontId="4" fillId="0" borderId="0" xfId="0" applyFont="1"/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67" fontId="10" fillId="2" borderId="29" xfId="3" applyFont="1" applyFill="1" applyBorder="1" applyAlignment="1">
      <alignment horizontal="center" vertical="center"/>
    </xf>
    <xf numFmtId="167" fontId="4" fillId="0" borderId="31" xfId="3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7" fontId="4" fillId="0" borderId="11" xfId="3" applyFont="1" applyBorder="1" applyAlignment="1">
      <alignment vertical="center"/>
    </xf>
    <xf numFmtId="167" fontId="4" fillId="0" borderId="8" xfId="0" applyNumberFormat="1" applyFont="1" applyBorder="1" applyAlignment="1">
      <alignment vertical="center"/>
    </xf>
    <xf numFmtId="167" fontId="4" fillId="0" borderId="8" xfId="3" applyFont="1" applyBorder="1" applyAlignment="1">
      <alignment vertical="center"/>
    </xf>
    <xf numFmtId="4" fontId="4" fillId="0" borderId="8" xfId="0" applyNumberFormat="1" applyFont="1" applyBorder="1" applyAlignment="1">
      <alignment horizontal="centerContinuous" vertical="center"/>
    </xf>
    <xf numFmtId="4" fontId="7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Fill="1" applyAlignment="1">
      <alignment vertical="center"/>
    </xf>
    <xf numFmtId="167" fontId="0" fillId="0" borderId="0" xfId="3" applyFont="1" applyFill="1" applyBorder="1" applyAlignment="1">
      <alignment vertical="center"/>
    </xf>
    <xf numFmtId="167" fontId="0" fillId="0" borderId="35" xfId="3" applyFont="1" applyFill="1" applyBorder="1" applyAlignment="1">
      <alignment vertical="center"/>
    </xf>
    <xf numFmtId="168" fontId="4" fillId="0" borderId="0" xfId="3" applyNumberFormat="1" applyFont="1" applyBorder="1" applyAlignment="1">
      <alignment horizontal="center" vertical="center"/>
    </xf>
    <xf numFmtId="0" fontId="7" fillId="0" borderId="0" xfId="0" applyFont="1" applyBorder="1"/>
    <xf numFmtId="0" fontId="13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0" fontId="13" fillId="0" borderId="17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0" fontId="14" fillId="0" borderId="17" xfId="0" applyNumberFormat="1" applyFont="1" applyBorder="1" applyAlignment="1">
      <alignment horizontal="right" vertical="center"/>
    </xf>
    <xf numFmtId="0" fontId="13" fillId="5" borderId="20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10" fontId="14" fillId="5" borderId="1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0" fontId="7" fillId="0" borderId="0" xfId="0" applyNumberFormat="1" applyFont="1"/>
    <xf numFmtId="9" fontId="13" fillId="0" borderId="0" xfId="2" applyFont="1" applyBorder="1" applyAlignment="1">
      <alignment horizontal="right" vertical="center"/>
    </xf>
    <xf numFmtId="10" fontId="7" fillId="0" borderId="0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8" borderId="32" xfId="0" applyFont="1" applyFill="1" applyBorder="1" applyAlignment="1">
      <alignment horizontal="left" vertical="center"/>
    </xf>
    <xf numFmtId="10" fontId="14" fillId="8" borderId="33" xfId="0" applyNumberFormat="1" applyFont="1" applyFill="1" applyBorder="1" applyAlignment="1">
      <alignment horizontal="right" vertical="center"/>
    </xf>
    <xf numFmtId="10" fontId="13" fillId="0" borderId="0" xfId="0" applyNumberFormat="1" applyFont="1" applyFill="1" applyBorder="1" applyAlignment="1">
      <alignment horizontal="right" vertical="center"/>
    </xf>
    <xf numFmtId="10" fontId="13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0" fontId="14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justify" vertical="center"/>
    </xf>
    <xf numFmtId="0" fontId="9" fillId="0" borderId="0" xfId="1" applyFont="1" applyBorder="1" applyAlignment="1" applyProtection="1">
      <alignment horizontal="left" vertical="center"/>
    </xf>
    <xf numFmtId="0" fontId="18" fillId="0" borderId="0" xfId="0" applyFont="1" applyBorder="1"/>
    <xf numFmtId="0" fontId="13" fillId="0" borderId="0" xfId="0" applyFont="1" applyBorder="1" applyAlignment="1">
      <alignment horizontal="right" vertical="center"/>
    </xf>
    <xf numFmtId="0" fontId="9" fillId="0" borderId="0" xfId="1" applyFont="1" applyBorder="1" applyAlignment="1" applyProtection="1">
      <alignment vertical="center"/>
    </xf>
    <xf numFmtId="0" fontId="6" fillId="0" borderId="20" xfId="0" applyFont="1" applyBorder="1"/>
    <xf numFmtId="0" fontId="6" fillId="0" borderId="34" xfId="0" applyFont="1" applyBorder="1"/>
    <xf numFmtId="0" fontId="8" fillId="0" borderId="34" xfId="0" applyFont="1" applyFill="1" applyBorder="1" applyAlignment="1">
      <alignment horizontal="left" vertical="center"/>
    </xf>
    <xf numFmtId="0" fontId="6" fillId="0" borderId="0" xfId="0" applyFont="1" applyBorder="1"/>
    <xf numFmtId="9" fontId="6" fillId="0" borderId="20" xfId="2" applyFont="1" applyBorder="1"/>
    <xf numFmtId="9" fontId="6" fillId="0" borderId="1" xfId="2" applyFont="1" applyBorder="1" applyAlignment="1">
      <alignment horizontal="center"/>
    </xf>
    <xf numFmtId="9" fontId="6" fillId="0" borderId="17" xfId="2" applyFont="1" applyBorder="1"/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10" fontId="6" fillId="3" borderId="10" xfId="0" applyNumberFormat="1" applyFont="1" applyFill="1" applyBorder="1" applyAlignment="1">
      <alignment horizontal="center" vertical="center"/>
    </xf>
    <xf numFmtId="10" fontId="6" fillId="0" borderId="17" xfId="2" applyNumberFormat="1" applyFont="1" applyBorder="1"/>
    <xf numFmtId="0" fontId="6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0" fontId="6" fillId="3" borderId="17" xfId="0" applyNumberFormat="1" applyFont="1" applyFill="1" applyBorder="1" applyAlignment="1">
      <alignment horizontal="center" vertical="center"/>
    </xf>
    <xf numFmtId="10" fontId="6" fillId="3" borderId="1" xfId="2" applyNumberFormat="1" applyFont="1" applyFill="1" applyBorder="1" applyAlignment="1">
      <alignment horizontal="center"/>
    </xf>
    <xf numFmtId="0" fontId="6" fillId="0" borderId="17" xfId="0" applyFont="1" applyBorder="1"/>
    <xf numFmtId="0" fontId="6" fillId="0" borderId="21" xfId="0" applyFont="1" applyFill="1" applyBorder="1" applyAlignment="1">
      <alignment horizontal="left" vertical="center"/>
    </xf>
    <xf numFmtId="10" fontId="6" fillId="3" borderId="3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10" fontId="6" fillId="0" borderId="24" xfId="0" applyNumberFormat="1" applyFont="1" applyFill="1" applyBorder="1" applyAlignment="1">
      <alignment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/>
    </xf>
    <xf numFmtId="10" fontId="6" fillId="0" borderId="20" xfId="2" applyNumberFormat="1" applyFont="1" applyBorder="1" applyAlignment="1">
      <alignment horizontal="right"/>
    </xf>
    <xf numFmtId="10" fontId="6" fillId="0" borderId="1" xfId="2" applyNumberFormat="1" applyFont="1" applyBorder="1" applyAlignment="1">
      <alignment horizontal="right"/>
    </xf>
    <xf numFmtId="10" fontId="6" fillId="0" borderId="17" xfId="2" applyNumberFormat="1" applyFont="1" applyBorder="1" applyAlignment="1">
      <alignment horizontal="right"/>
    </xf>
    <xf numFmtId="10" fontId="6" fillId="0" borderId="21" xfId="2" applyNumberFormat="1" applyFont="1" applyBorder="1" applyAlignment="1">
      <alignment horizontal="right"/>
    </xf>
    <xf numFmtId="10" fontId="6" fillId="0" borderId="32" xfId="2" applyNumberFormat="1" applyFont="1" applyBorder="1" applyAlignment="1">
      <alignment horizontal="right"/>
    </xf>
    <xf numFmtId="10" fontId="6" fillId="0" borderId="33" xfId="2" applyNumberFormat="1" applyFont="1" applyBorder="1" applyAlignment="1">
      <alignment horizontal="right"/>
    </xf>
    <xf numFmtId="167" fontId="4" fillId="0" borderId="9" xfId="3" applyFont="1" applyBorder="1" applyAlignment="1">
      <alignment vertical="center"/>
    </xf>
    <xf numFmtId="167" fontId="4" fillId="0" borderId="5" xfId="3" applyFont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7" fontId="2" fillId="0" borderId="0" xfId="3" applyFont="1" applyAlignment="1">
      <alignment vertical="center"/>
    </xf>
    <xf numFmtId="0" fontId="20" fillId="10" borderId="5" xfId="0" applyFont="1" applyFill="1" applyBorder="1" applyAlignment="1">
      <alignment vertical="center"/>
    </xf>
    <xf numFmtId="0" fontId="20" fillId="10" borderId="6" xfId="0" applyFont="1" applyFill="1" applyBorder="1" applyAlignment="1">
      <alignment vertical="center"/>
    </xf>
    <xf numFmtId="167" fontId="20" fillId="10" borderId="6" xfId="3" applyFont="1" applyFill="1" applyBorder="1" applyAlignment="1">
      <alignment vertical="center"/>
    </xf>
    <xf numFmtId="167" fontId="20" fillId="10" borderId="7" xfId="3" applyFont="1" applyFill="1" applyBorder="1" applyAlignment="1">
      <alignment vertical="center"/>
    </xf>
    <xf numFmtId="0" fontId="21" fillId="10" borderId="6" xfId="0" applyFont="1" applyFill="1" applyBorder="1" applyAlignment="1">
      <alignment vertical="center"/>
    </xf>
    <xf numFmtId="167" fontId="21" fillId="10" borderId="6" xfId="3" applyFont="1" applyFill="1" applyBorder="1" applyAlignment="1">
      <alignment vertical="center"/>
    </xf>
    <xf numFmtId="167" fontId="21" fillId="10" borderId="7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7" fontId="4" fillId="4" borderId="0" xfId="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44" fontId="2" fillId="4" borderId="1" xfId="0" applyNumberFormat="1" applyFont="1" applyFill="1" applyBorder="1" applyAlignment="1">
      <alignment vertical="center"/>
    </xf>
    <xf numFmtId="167" fontId="10" fillId="2" borderId="10" xfId="3" applyFont="1" applyFill="1" applyBorder="1" applyAlignment="1">
      <alignment horizontal="center" vertical="center"/>
    </xf>
    <xf numFmtId="10" fontId="4" fillId="0" borderId="12" xfId="2" applyNumberFormat="1" applyFont="1" applyBorder="1" applyAlignment="1">
      <alignment horizontal="center" vertical="center"/>
    </xf>
    <xf numFmtId="10" fontId="0" fillId="0" borderId="12" xfId="2" applyNumberFormat="1" applyFont="1" applyBorder="1" applyAlignment="1">
      <alignment horizontal="center" vertical="center"/>
    </xf>
    <xf numFmtId="9" fontId="4" fillId="0" borderId="15" xfId="2" applyFont="1" applyBorder="1" applyAlignment="1">
      <alignment horizontal="center" vertical="center"/>
    </xf>
    <xf numFmtId="171" fontId="4" fillId="0" borderId="0" xfId="3" applyNumberFormat="1" applyFont="1" applyAlignment="1">
      <alignment horizontal="center" vertical="center"/>
    </xf>
    <xf numFmtId="171" fontId="2" fillId="0" borderId="3" xfId="3" applyNumberFormat="1" applyFont="1" applyBorder="1" applyAlignment="1">
      <alignment horizontal="center" vertical="center"/>
    </xf>
    <xf numFmtId="171" fontId="2" fillId="0" borderId="1" xfId="3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0" fontId="4" fillId="4" borderId="4" xfId="2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4" fillId="0" borderId="0" xfId="3" applyFont="1" applyBorder="1" applyAlignment="1">
      <alignment horizontal="left" vertical="center"/>
    </xf>
    <xf numFmtId="9" fontId="4" fillId="0" borderId="0" xfId="2" applyFont="1" applyBorder="1" applyAlignment="1">
      <alignment horizontal="center" vertical="center"/>
    </xf>
    <xf numFmtId="10" fontId="8" fillId="5" borderId="7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2" fillId="0" borderId="1" xfId="3" applyNumberFormat="1" applyFont="1" applyBorder="1" applyAlignment="1">
      <alignment horizontal="center" vertical="center"/>
    </xf>
    <xf numFmtId="167" fontId="2" fillId="3" borderId="0" xfId="3" applyFont="1" applyFill="1" applyAlignment="1">
      <alignment vertical="center"/>
    </xf>
    <xf numFmtId="167" fontId="2" fillId="0" borderId="1" xfId="3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67" fontId="2" fillId="0" borderId="2" xfId="3" applyFont="1" applyBorder="1" applyAlignment="1">
      <alignment horizontal="center" vertical="center"/>
    </xf>
    <xf numFmtId="167" fontId="2" fillId="0" borderId="0" xfId="3" applyFont="1" applyAlignment="1">
      <alignment horizontal="right" vertical="center"/>
    </xf>
    <xf numFmtId="170" fontId="2" fillId="0" borderId="1" xfId="3" applyNumberFormat="1" applyFont="1" applyBorder="1" applyAlignment="1">
      <alignment vertical="center"/>
    </xf>
    <xf numFmtId="167" fontId="4" fillId="2" borderId="4" xfId="3" applyFont="1" applyFill="1" applyBorder="1" applyAlignment="1">
      <alignment vertical="center"/>
    </xf>
    <xf numFmtId="44" fontId="2" fillId="3" borderId="1" xfId="5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44" fontId="4" fillId="2" borderId="4" xfId="5" applyFont="1" applyFill="1" applyBorder="1" applyAlignment="1">
      <alignment vertical="center"/>
    </xf>
    <xf numFmtId="169" fontId="4" fillId="0" borderId="1" xfId="0" applyNumberFormat="1" applyFont="1" applyBorder="1" applyAlignment="1">
      <alignment horizontal="right" vertical="center"/>
    </xf>
    <xf numFmtId="169" fontId="0" fillId="0" borderId="1" xfId="0" applyNumberFormat="1" applyBorder="1" applyAlignment="1">
      <alignment horizontal="right" vertical="center"/>
    </xf>
    <xf numFmtId="169" fontId="2" fillId="0" borderId="1" xfId="0" applyNumberFormat="1" applyFont="1" applyBorder="1" applyAlignment="1">
      <alignment horizontal="right" vertical="center"/>
    </xf>
    <xf numFmtId="169" fontId="4" fillId="0" borderId="32" xfId="0" applyNumberFormat="1" applyFont="1" applyBorder="1" applyAlignment="1">
      <alignment horizontal="right" vertical="center"/>
    </xf>
    <xf numFmtId="44" fontId="2" fillId="0" borderId="2" xfId="5" applyFont="1" applyBorder="1" applyAlignment="1">
      <alignment horizontal="center" vertical="center"/>
    </xf>
    <xf numFmtId="13" fontId="2" fillId="3" borderId="1" xfId="0" applyNumberFormat="1" applyFont="1" applyFill="1" applyBorder="1" applyAlignment="1">
      <alignment vertical="center"/>
    </xf>
    <xf numFmtId="44" fontId="2" fillId="0" borderId="1" xfId="5" applyFont="1" applyFill="1" applyBorder="1" applyAlignment="1">
      <alignment horizontal="center" vertical="center"/>
    </xf>
    <xf numFmtId="44" fontId="2" fillId="0" borderId="1" xfId="5" applyFont="1" applyBorder="1" applyAlignment="1">
      <alignment horizontal="center" vertical="center"/>
    </xf>
    <xf numFmtId="168" fontId="2" fillId="0" borderId="1" xfId="3" applyNumberFormat="1" applyFont="1" applyBorder="1" applyAlignment="1">
      <alignment vertical="center"/>
    </xf>
    <xf numFmtId="1" fontId="2" fillId="0" borderId="1" xfId="3" applyNumberFormat="1" applyFont="1" applyFill="1" applyBorder="1" applyAlignment="1">
      <alignment horizontal="center" vertical="center"/>
    </xf>
    <xf numFmtId="169" fontId="4" fillId="0" borderId="3" xfId="0" applyNumberFormat="1" applyFont="1" applyBorder="1" applyAlignment="1">
      <alignment horizontal="right" vertical="center"/>
    </xf>
    <xf numFmtId="44" fontId="20" fillId="10" borderId="4" xfId="5" applyFont="1" applyFill="1" applyBorder="1" applyAlignment="1">
      <alignment vertical="center"/>
    </xf>
    <xf numFmtId="10" fontId="24" fillId="0" borderId="17" xfId="0" applyNumberFormat="1" applyFont="1" applyBorder="1" applyAlignment="1">
      <alignment horizontal="right" vertical="center"/>
    </xf>
    <xf numFmtId="0" fontId="14" fillId="8" borderId="32" xfId="0" applyFont="1" applyFill="1" applyBorder="1" applyAlignment="1">
      <alignment horizontal="left" vertical="center" wrapText="1"/>
    </xf>
    <xf numFmtId="44" fontId="4" fillId="2" borderId="7" xfId="5" applyFont="1" applyFill="1" applyBorder="1" applyAlignment="1">
      <alignment horizontal="center" vertical="center"/>
    </xf>
    <xf numFmtId="168" fontId="2" fillId="0" borderId="1" xfId="3" applyNumberFormat="1" applyFont="1" applyFill="1" applyBorder="1" applyAlignment="1">
      <alignment horizontal="center" vertical="center"/>
    </xf>
    <xf numFmtId="167" fontId="2" fillId="3" borderId="2" xfId="3" applyFont="1" applyFill="1" applyBorder="1" applyAlignment="1">
      <alignment horizontal="center" vertical="center"/>
    </xf>
    <xf numFmtId="172" fontId="4" fillId="0" borderId="2" xfId="3" applyNumberFormat="1" applyFont="1" applyFill="1" applyBorder="1" applyAlignment="1" applyProtection="1">
      <alignment horizontal="center" vertical="center"/>
    </xf>
    <xf numFmtId="167" fontId="2" fillId="0" borderId="1" xfId="3" applyFont="1" applyBorder="1" applyAlignment="1">
      <alignment vertical="center"/>
    </xf>
    <xf numFmtId="43" fontId="0" fillId="0" borderId="0" xfId="0" applyNumberFormat="1"/>
    <xf numFmtId="167" fontId="2" fillId="0" borderId="0" xfId="3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7" fontId="2" fillId="0" borderId="6" xfId="3" applyFont="1" applyBorder="1" applyAlignment="1">
      <alignment vertical="center"/>
    </xf>
    <xf numFmtId="167" fontId="2" fillId="0" borderId="7" xfId="3" applyFont="1" applyBorder="1" applyAlignment="1">
      <alignment vertical="center"/>
    </xf>
    <xf numFmtId="167" fontId="4" fillId="0" borderId="11" xfId="3" applyFont="1" applyBorder="1" applyAlignment="1">
      <alignment horizontal="left" vertical="center"/>
    </xf>
    <xf numFmtId="167" fontId="4" fillId="0" borderId="8" xfId="3" applyFont="1" applyBorder="1" applyAlignment="1">
      <alignment horizontal="left" vertical="center"/>
    </xf>
    <xf numFmtId="172" fontId="25" fillId="0" borderId="6" xfId="7" applyNumberFormat="1" applyFont="1" applyBorder="1" applyAlignment="1" applyProtection="1">
      <alignment vertical="center"/>
    </xf>
    <xf numFmtId="0" fontId="26" fillId="0" borderId="2" xfId="6" applyFont="1" applyBorder="1" applyAlignment="1">
      <alignment vertical="center"/>
    </xf>
    <xf numFmtId="0" fontId="26" fillId="0" borderId="2" xfId="6" applyFont="1" applyBorder="1" applyAlignment="1">
      <alignment horizontal="center" vertical="center"/>
    </xf>
    <xf numFmtId="173" fontId="26" fillId="0" borderId="2" xfId="7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2" fillId="3" borderId="1" xfId="3" applyFont="1" applyFill="1" applyBorder="1" applyAlignment="1">
      <alignment horizontal="center" vertical="center"/>
    </xf>
    <xf numFmtId="44" fontId="4" fillId="0" borderId="0" xfId="5" applyFont="1" applyAlignment="1">
      <alignment horizontal="center" vertical="center"/>
    </xf>
    <xf numFmtId="2" fontId="2" fillId="6" borderId="1" xfId="3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4" fontId="4" fillId="0" borderId="8" xfId="5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4" fontId="2" fillId="0" borderId="1" xfId="5" applyFont="1" applyFill="1" applyBorder="1" applyAlignment="1">
      <alignment vertical="center"/>
    </xf>
    <xf numFmtId="174" fontId="25" fillId="11" borderId="4" xfId="9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175" fontId="26" fillId="0" borderId="1" xfId="3" applyNumberFormat="1" applyFont="1" applyFill="1" applyBorder="1" applyAlignment="1" applyProtection="1">
      <alignment horizontal="center" vertical="center"/>
    </xf>
    <xf numFmtId="172" fontId="26" fillId="3" borderId="2" xfId="3" applyNumberFormat="1" applyFont="1" applyFill="1" applyBorder="1" applyAlignment="1" applyProtection="1">
      <alignment horizontal="center" vertical="center"/>
    </xf>
    <xf numFmtId="0" fontId="25" fillId="0" borderId="5" xfId="6" applyFont="1" applyBorder="1" applyAlignment="1">
      <alignment vertical="center"/>
    </xf>
    <xf numFmtId="172" fontId="26" fillId="0" borderId="6" xfId="7" applyNumberFormat="1" applyFont="1" applyBorder="1" applyAlignment="1" applyProtection="1">
      <alignment vertical="center"/>
    </xf>
    <xf numFmtId="172" fontId="26" fillId="0" borderId="7" xfId="7" applyNumberFormat="1" applyFont="1" applyBorder="1" applyAlignment="1" applyProtection="1">
      <alignment vertical="center"/>
    </xf>
    <xf numFmtId="0" fontId="25" fillId="0" borderId="6" xfId="6" applyFont="1" applyBorder="1" applyAlignment="1">
      <alignment vertical="center"/>
    </xf>
    <xf numFmtId="0" fontId="0" fillId="0" borderId="34" xfId="0" applyBorder="1" applyAlignment="1">
      <alignment vertical="center"/>
    </xf>
    <xf numFmtId="4" fontId="0" fillId="0" borderId="0" xfId="0" applyNumberFormat="1" applyAlignment="1">
      <alignment vertical="center"/>
    </xf>
    <xf numFmtId="10" fontId="2" fillId="0" borderId="12" xfId="2" applyNumberFormat="1" applyFont="1" applyBorder="1" applyAlignment="1">
      <alignment horizontal="center" vertical="center"/>
    </xf>
    <xf numFmtId="166" fontId="4" fillId="0" borderId="30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centerContinuous" vertical="center"/>
    </xf>
    <xf numFmtId="166" fontId="4" fillId="0" borderId="0" xfId="0" applyNumberFormat="1" applyFont="1" applyAlignment="1">
      <alignment vertical="center"/>
    </xf>
    <xf numFmtId="168" fontId="2" fillId="0" borderId="0" xfId="3" applyNumberFormat="1" applyFont="1" applyBorder="1" applyAlignment="1">
      <alignment horizontal="center" vertical="center"/>
    </xf>
    <xf numFmtId="171" fontId="2" fillId="3" borderId="2" xfId="3" applyNumberFormat="1" applyFont="1" applyFill="1" applyBorder="1" applyAlignment="1">
      <alignment horizontal="center" vertical="center"/>
    </xf>
    <xf numFmtId="171" fontId="2" fillId="0" borderId="2" xfId="3" applyNumberFormat="1" applyFont="1" applyBorder="1" applyAlignment="1">
      <alignment horizontal="center" vertical="center"/>
    </xf>
    <xf numFmtId="171" fontId="2" fillId="0" borderId="1" xfId="3" applyNumberFormat="1" applyFont="1" applyFill="1" applyBorder="1" applyAlignment="1">
      <alignment horizontal="center" vertical="center"/>
    </xf>
    <xf numFmtId="171" fontId="4" fillId="0" borderId="3" xfId="3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70" fontId="2" fillId="0" borderId="0" xfId="3" applyNumberFormat="1" applyFont="1" applyBorder="1" applyAlignment="1">
      <alignment vertical="center"/>
    </xf>
    <xf numFmtId="9" fontId="2" fillId="0" borderId="0" xfId="2" applyFont="1" applyAlignment="1">
      <alignment vertical="center"/>
    </xf>
    <xf numFmtId="171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4" fontId="4" fillId="0" borderId="0" xfId="5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4" fontId="20" fillId="10" borderId="4" xfId="5" applyFont="1" applyFill="1" applyBorder="1" applyAlignment="1">
      <alignment horizontal="center" vertical="center"/>
    </xf>
    <xf numFmtId="167" fontId="4" fillId="2" borderId="4" xfId="3" applyFont="1" applyFill="1" applyBorder="1" applyAlignment="1">
      <alignment horizontal="center" vertical="center"/>
    </xf>
    <xf numFmtId="10" fontId="2" fillId="6" borderId="1" xfId="0" applyNumberFormat="1" applyFont="1" applyFill="1" applyBorder="1" applyAlignment="1">
      <alignment horizontal="center" vertical="center"/>
    </xf>
    <xf numFmtId="44" fontId="2" fillId="4" borderId="0" xfId="5" applyFont="1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44" fontId="20" fillId="4" borderId="0" xfId="5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2" fillId="0" borderId="0" xfId="3" applyFont="1" applyFill="1" applyAlignment="1">
      <alignment vertical="center"/>
    </xf>
    <xf numFmtId="10" fontId="2" fillId="0" borderId="0" xfId="2" applyNumberFormat="1" applyFont="1" applyFill="1" applyAlignment="1">
      <alignment vertical="center"/>
    </xf>
    <xf numFmtId="170" fontId="2" fillId="0" borderId="0" xfId="3" applyNumberFormat="1" applyFont="1" applyAlignment="1">
      <alignment vertical="center"/>
    </xf>
    <xf numFmtId="0" fontId="2" fillId="0" borderId="1" xfId="0" applyFont="1" applyBorder="1" applyAlignment="1">
      <alignment wrapText="1"/>
    </xf>
    <xf numFmtId="167" fontId="0" fillId="0" borderId="1" xfId="3" applyFont="1" applyBorder="1"/>
    <xf numFmtId="167" fontId="4" fillId="0" borderId="1" xfId="3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4" fontId="2" fillId="0" borderId="0" xfId="0" applyNumberFormat="1" applyFont="1" applyBorder="1" applyAlignment="1">
      <alignment vertical="center"/>
    </xf>
    <xf numFmtId="167" fontId="4" fillId="0" borderId="11" xfId="3" applyFont="1" applyBorder="1" applyAlignment="1">
      <alignment horizontal="left" vertical="center"/>
    </xf>
    <xf numFmtId="167" fontId="4" fillId="0" borderId="8" xfId="3" applyFont="1" applyBorder="1" applyAlignment="1">
      <alignment horizontal="left" vertical="center"/>
    </xf>
    <xf numFmtId="167" fontId="0" fillId="0" borderId="0" xfId="3" applyFont="1"/>
    <xf numFmtId="173" fontId="26" fillId="12" borderId="2" xfId="7" applyNumberFormat="1" applyFont="1" applyFill="1" applyBorder="1" applyAlignment="1" applyProtection="1">
      <alignment horizontal="center" vertical="center"/>
    </xf>
    <xf numFmtId="0" fontId="5" fillId="0" borderId="0" xfId="11" applyFont="1"/>
    <xf numFmtId="0" fontId="27" fillId="0" borderId="0" xfId="11" applyFont="1"/>
    <xf numFmtId="0" fontId="18" fillId="13" borderId="42" xfId="0" applyFont="1" applyFill="1" applyBorder="1" applyAlignment="1">
      <alignment vertical="center"/>
    </xf>
    <xf numFmtId="0" fontId="18" fillId="0" borderId="42" xfId="0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76" fontId="18" fillId="14" borderId="42" xfId="0" applyNumberFormat="1" applyFont="1" applyFill="1" applyBorder="1" applyAlignment="1">
      <alignment horizontal="center" vertical="center"/>
    </xf>
    <xf numFmtId="17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18" fillId="14" borderId="43" xfId="0" applyFont="1" applyFill="1" applyBorder="1" applyAlignment="1">
      <alignment horizontal="center" vertical="center"/>
    </xf>
    <xf numFmtId="176" fontId="18" fillId="0" borderId="43" xfId="0" applyNumberFormat="1" applyFont="1" applyBorder="1" applyAlignment="1">
      <alignment horizontal="center" vertical="center"/>
    </xf>
    <xf numFmtId="2" fontId="18" fillId="15" borderId="43" xfId="0" applyNumberFormat="1" applyFont="1" applyFill="1" applyBorder="1" applyAlignment="1">
      <alignment horizontal="center" vertical="center"/>
    </xf>
    <xf numFmtId="0" fontId="18" fillId="0" borderId="44" xfId="0" applyFont="1" applyBorder="1" applyAlignment="1">
      <alignment vertical="center"/>
    </xf>
    <xf numFmtId="0" fontId="18" fillId="0" borderId="44" xfId="0" applyFont="1" applyBorder="1" applyAlignment="1">
      <alignment horizontal="center" vertical="center"/>
    </xf>
    <xf numFmtId="176" fontId="18" fillId="0" borderId="44" xfId="0" applyNumberFormat="1" applyFont="1" applyBorder="1" applyAlignment="1">
      <alignment horizontal="center" vertical="center"/>
    </xf>
    <xf numFmtId="176" fontId="28" fillId="0" borderId="44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vertical="center" wrapText="1"/>
    </xf>
    <xf numFmtId="172" fontId="18" fillId="14" borderId="42" xfId="0" applyNumberFormat="1" applyFont="1" applyFill="1" applyBorder="1" applyAlignment="1">
      <alignment horizontal="center" vertical="center"/>
    </xf>
    <xf numFmtId="172" fontId="28" fillId="0" borderId="42" xfId="0" applyNumberFormat="1" applyFont="1" applyBorder="1" applyAlignment="1">
      <alignment horizontal="center" vertical="center"/>
    </xf>
    <xf numFmtId="167" fontId="2" fillId="3" borderId="1" xfId="3" applyFont="1" applyFill="1" applyBorder="1"/>
    <xf numFmtId="175" fontId="18" fillId="0" borderId="42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72" fontId="18" fillId="14" borderId="1" xfId="0" applyNumberFormat="1" applyFont="1" applyFill="1" applyBorder="1" applyAlignment="1">
      <alignment horizontal="center" vertical="center"/>
    </xf>
    <xf numFmtId="172" fontId="28" fillId="0" borderId="1" xfId="0" applyNumberFormat="1" applyFont="1" applyBorder="1" applyAlignment="1">
      <alignment horizontal="center" vertical="center"/>
    </xf>
    <xf numFmtId="167" fontId="4" fillId="0" borderId="11" xfId="3" applyFont="1" applyBorder="1" applyAlignment="1">
      <alignment horizontal="left" vertical="center"/>
    </xf>
    <xf numFmtId="167" fontId="4" fillId="0" borderId="8" xfId="3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72" fontId="3" fillId="0" borderId="0" xfId="3" applyNumberFormat="1" applyFont="1" applyAlignment="1">
      <alignment horizontal="right" vertical="center" wrapText="1"/>
    </xf>
    <xf numFmtId="172" fontId="3" fillId="4" borderId="0" xfId="3" applyNumberFormat="1" applyFont="1" applyFill="1" applyBorder="1" applyAlignment="1">
      <alignment vertical="center" wrapText="1"/>
    </xf>
    <xf numFmtId="174" fontId="30" fillId="16" borderId="0" xfId="12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2" fontId="3" fillId="0" borderId="0" xfId="3" applyNumberFormat="1" applyFont="1" applyAlignment="1">
      <alignment vertical="center" wrapText="1"/>
    </xf>
    <xf numFmtId="174" fontId="30" fillId="16" borderId="1" xfId="1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right" vertical="center" wrapText="1"/>
    </xf>
    <xf numFmtId="172" fontId="30" fillId="16" borderId="1" xfId="3" applyNumberFormat="1" applyFont="1" applyFill="1" applyBorder="1" applyAlignment="1">
      <alignment horizontal="center" vertical="center" wrapText="1"/>
    </xf>
    <xf numFmtId="169" fontId="2" fillId="0" borderId="3" xfId="0" applyNumberFormat="1" applyFont="1" applyBorder="1" applyAlignment="1">
      <alignment horizontal="right" vertical="center"/>
    </xf>
    <xf numFmtId="172" fontId="18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74" fontId="30" fillId="16" borderId="2" xfId="12" applyNumberFormat="1" applyFont="1" applyFill="1" applyBorder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0" fillId="17" borderId="46" xfId="0" applyFont="1" applyFill="1" applyBorder="1" applyAlignment="1">
      <alignment horizontal="center" vertical="center" wrapText="1"/>
    </xf>
    <xf numFmtId="172" fontId="30" fillId="17" borderId="46" xfId="3" applyNumberFormat="1" applyFont="1" applyFill="1" applyBorder="1" applyAlignment="1">
      <alignment horizontal="center" vertical="center" wrapText="1"/>
    </xf>
    <xf numFmtId="172" fontId="30" fillId="17" borderId="47" xfId="3" applyNumberFormat="1" applyFont="1" applyFill="1" applyBorder="1" applyAlignment="1">
      <alignment horizontal="center" vertical="center" wrapText="1"/>
    </xf>
    <xf numFmtId="172" fontId="30" fillId="16" borderId="2" xfId="3" applyNumberFormat="1" applyFont="1" applyFill="1" applyBorder="1" applyAlignment="1">
      <alignment horizontal="center" vertical="center" wrapText="1"/>
    </xf>
    <xf numFmtId="44" fontId="4" fillId="0" borderId="2" xfId="5" applyFont="1" applyBorder="1" applyAlignment="1">
      <alignment horizontal="center" vertical="center"/>
    </xf>
    <xf numFmtId="167" fontId="2" fillId="5" borderId="2" xfId="3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3" fillId="16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/>
    </xf>
    <xf numFmtId="0" fontId="12" fillId="7" borderId="22" xfId="0" applyFont="1" applyFill="1" applyBorder="1" applyAlignment="1">
      <alignment horizontal="center" vertical="justify"/>
    </xf>
    <xf numFmtId="0" fontId="12" fillId="7" borderId="23" xfId="0" applyFont="1" applyFill="1" applyBorder="1" applyAlignment="1">
      <alignment horizontal="center" vertical="justify"/>
    </xf>
    <xf numFmtId="0" fontId="12" fillId="7" borderId="24" xfId="0" applyFont="1" applyFill="1" applyBorder="1" applyAlignment="1">
      <alignment horizontal="center" vertical="justify"/>
    </xf>
    <xf numFmtId="0" fontId="12" fillId="7" borderId="34" xfId="0" applyFont="1" applyFill="1" applyBorder="1" applyAlignment="1">
      <alignment horizontal="center" vertical="justify"/>
    </xf>
    <xf numFmtId="0" fontId="12" fillId="7" borderId="0" xfId="0" applyFont="1" applyFill="1" applyAlignment="1">
      <alignment horizontal="center" vertical="justify"/>
    </xf>
    <xf numFmtId="0" fontId="12" fillId="7" borderId="35" xfId="0" applyFont="1" applyFill="1" applyBorder="1" applyAlignment="1">
      <alignment horizontal="center" vertical="justify"/>
    </xf>
    <xf numFmtId="0" fontId="8" fillId="7" borderId="37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7" fontId="5" fillId="7" borderId="5" xfId="3" applyFont="1" applyFill="1" applyBorder="1" applyAlignment="1">
      <alignment horizontal="center" vertical="center"/>
    </xf>
    <xf numFmtId="167" fontId="5" fillId="7" borderId="6" xfId="3" applyFont="1" applyFill="1" applyBorder="1" applyAlignment="1">
      <alignment horizontal="center" vertical="center"/>
    </xf>
    <xf numFmtId="167" fontId="5" fillId="7" borderId="7" xfId="3" applyFont="1" applyFill="1" applyBorder="1" applyAlignment="1">
      <alignment horizontal="center" vertical="center"/>
    </xf>
    <xf numFmtId="167" fontId="4" fillId="0" borderId="11" xfId="3" applyFont="1" applyBorder="1" applyAlignment="1">
      <alignment horizontal="left" vertical="center"/>
    </xf>
    <xf numFmtId="167" fontId="4" fillId="0" borderId="8" xfId="3" applyFont="1" applyBorder="1" applyAlignment="1">
      <alignment horizontal="left" vertical="center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justify"/>
    </xf>
    <xf numFmtId="0" fontId="3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0" fillId="10" borderId="5" xfId="0" applyFont="1" applyFill="1" applyBorder="1" applyAlignment="1">
      <alignment horizontal="left" vertical="center"/>
    </xf>
    <xf numFmtId="0" fontId="20" fillId="10" borderId="6" xfId="0" applyFont="1" applyFill="1" applyBorder="1" applyAlignment="1">
      <alignment horizontal="left" vertical="center"/>
    </xf>
    <xf numFmtId="0" fontId="20" fillId="10" borderId="7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18" borderId="40" xfId="0" applyFont="1" applyFill="1" applyBorder="1" applyAlignment="1">
      <alignment horizontal="right" vertical="center" wrapText="1"/>
    </xf>
    <xf numFmtId="0" fontId="3" fillId="18" borderId="8" xfId="0" applyFont="1" applyFill="1" applyBorder="1" applyAlignment="1">
      <alignment horizontal="right" vertical="center" wrapText="1"/>
    </xf>
    <xf numFmtId="0" fontId="3" fillId="18" borderId="41" xfId="0" applyFont="1" applyFill="1" applyBorder="1" applyAlignment="1">
      <alignment horizontal="right" vertical="center" wrapText="1"/>
    </xf>
    <xf numFmtId="0" fontId="3" fillId="0" borderId="40" xfId="13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 wrapText="1"/>
    </xf>
    <xf numFmtId="0" fontId="3" fillId="0" borderId="41" xfId="13" applyFont="1" applyBorder="1" applyAlignment="1">
      <alignment horizontal="center" vertical="center" wrapText="1"/>
    </xf>
    <xf numFmtId="0" fontId="30" fillId="5" borderId="40" xfId="0" applyFont="1" applyFill="1" applyBorder="1" applyAlignment="1">
      <alignment horizontal="right" vertical="center" wrapText="1"/>
    </xf>
    <xf numFmtId="0" fontId="30" fillId="5" borderId="8" xfId="0" applyFont="1" applyFill="1" applyBorder="1" applyAlignment="1">
      <alignment horizontal="right" vertical="center" wrapText="1"/>
    </xf>
    <xf numFmtId="0" fontId="30" fillId="5" borderId="41" xfId="0" applyFont="1" applyFill="1" applyBorder="1" applyAlignment="1">
      <alignment horizontal="right" vertical="center" wrapText="1"/>
    </xf>
    <xf numFmtId="0" fontId="12" fillId="7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9" fontId="8" fillId="0" borderId="18" xfId="2" applyFont="1" applyBorder="1" applyAlignment="1">
      <alignment horizontal="center"/>
    </xf>
    <xf numFmtId="9" fontId="8" fillId="0" borderId="19" xfId="2" applyFont="1" applyBorder="1" applyAlignment="1">
      <alignment horizontal="center"/>
    </xf>
    <xf numFmtId="9" fontId="8" fillId="0" borderId="10" xfId="2" applyFont="1" applyBorder="1" applyAlignment="1">
      <alignment horizontal="center"/>
    </xf>
    <xf numFmtId="0" fontId="5" fillId="9" borderId="22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5">
    <cellStyle name="Excel Built-in Normal" xfId="13"/>
    <cellStyle name="Hiperlink" xfId="1" builtinId="8"/>
    <cellStyle name="Moeda" xfId="12" builtinId="4"/>
    <cellStyle name="Moeda 2" xfId="5"/>
    <cellStyle name="Moeda 2 2" xfId="10"/>
    <cellStyle name="Moeda 6" xfId="9"/>
    <cellStyle name="Normal" xfId="0" builtinId="0"/>
    <cellStyle name="Normal 15" xfId="11"/>
    <cellStyle name="Normal 2" xfId="4"/>
    <cellStyle name="Normal 27" xfId="6"/>
    <cellStyle name="Porcentagem" xfId="2" builtinId="5"/>
    <cellStyle name="Porcentagem 4" xfId="8"/>
    <cellStyle name="Separador de milhares 23" xfId="7"/>
    <cellStyle name="Vírgula" xfId="3" builtinId="3"/>
    <cellStyle name="Vírgula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130" zoomScaleNormal="130" workbookViewId="0">
      <selection activeCell="B5" sqref="B5"/>
    </sheetView>
  </sheetViews>
  <sheetFormatPr defaultRowHeight="12.75" x14ac:dyDescent="0.2"/>
  <cols>
    <col min="1" max="1" width="8.85546875" customWidth="1"/>
    <col min="2" max="2" width="27.28515625" customWidth="1"/>
    <col min="3" max="3" width="11.7109375" customWidth="1"/>
    <col min="4" max="4" width="12" bestFit="1" customWidth="1"/>
    <col min="5" max="5" width="10.28515625" hidden="1" customWidth="1"/>
  </cols>
  <sheetData>
    <row r="1" spans="1:5" x14ac:dyDescent="0.2">
      <c r="A1" s="30" t="s">
        <v>155</v>
      </c>
    </row>
    <row r="2" spans="1:5" x14ac:dyDescent="0.2">
      <c r="A2" s="30" t="s">
        <v>199</v>
      </c>
    </row>
    <row r="3" spans="1:5" ht="29.25" customHeight="1" x14ac:dyDescent="0.2">
      <c r="A3" s="149" t="s">
        <v>114</v>
      </c>
      <c r="B3" s="149" t="s">
        <v>115</v>
      </c>
      <c r="C3" s="251" t="s">
        <v>246</v>
      </c>
      <c r="D3" s="149" t="s">
        <v>142</v>
      </c>
      <c r="E3" s="251" t="s">
        <v>153</v>
      </c>
    </row>
    <row r="4" spans="1:5" x14ac:dyDescent="0.2">
      <c r="A4" s="152">
        <v>1</v>
      </c>
      <c r="B4" s="153" t="s">
        <v>245</v>
      </c>
      <c r="C4" s="249">
        <v>2</v>
      </c>
      <c r="D4" s="247">
        <f>'1. Serv. Gerais'!F159</f>
        <v>18315.413844417864</v>
      </c>
      <c r="E4" s="247">
        <f>D4/C4</f>
        <v>9157.7069222089322</v>
      </c>
    </row>
    <row r="5" spans="1:5" ht="25.5" x14ac:dyDescent="0.2">
      <c r="A5" s="152">
        <v>2</v>
      </c>
      <c r="B5" s="246" t="s">
        <v>147</v>
      </c>
      <c r="C5" s="250">
        <v>2</v>
      </c>
      <c r="D5" s="247">
        <f>'2. Serv. Gerai 12 x 36'!F101</f>
        <v>12299.141821118876</v>
      </c>
      <c r="E5" s="247">
        <f>D5/C5</f>
        <v>6149.5709105594378</v>
      </c>
    </row>
    <row r="6" spans="1:5" x14ac:dyDescent="0.2">
      <c r="A6" s="152"/>
      <c r="B6" s="153"/>
      <c r="C6" s="153"/>
      <c r="D6" s="150"/>
      <c r="E6" s="150"/>
    </row>
    <row r="7" spans="1:5" x14ac:dyDescent="0.2">
      <c r="A7" s="151" t="s">
        <v>113</v>
      </c>
      <c r="B7" s="151"/>
      <c r="C7" s="252">
        <f>SUM(C4:C6)</f>
        <v>4</v>
      </c>
      <c r="D7" s="248">
        <f>SUM(D4:D6)</f>
        <v>30614.55566553674</v>
      </c>
      <c r="E7" s="248"/>
    </row>
    <row r="9" spans="1:5" ht="15.75" x14ac:dyDescent="0.25">
      <c r="A9" s="258" t="s">
        <v>249</v>
      </c>
      <c r="D9" s="256"/>
    </row>
    <row r="10" spans="1:5" ht="15" x14ac:dyDescent="0.2">
      <c r="A10" s="259"/>
      <c r="D10" s="187"/>
    </row>
    <row r="11" spans="1:5" ht="15" x14ac:dyDescent="0.2">
      <c r="A11" s="259"/>
      <c r="D11" s="187"/>
    </row>
    <row r="12" spans="1:5" ht="15" x14ac:dyDescent="0.2">
      <c r="A12" s="259"/>
      <c r="D12" s="187"/>
    </row>
    <row r="13" spans="1:5" ht="15" x14ac:dyDescent="0.2">
      <c r="A13" s="259"/>
    </row>
    <row r="14" spans="1:5" ht="15" x14ac:dyDescent="0.2">
      <c r="A14" s="259"/>
    </row>
    <row r="15" spans="1:5" ht="15.75" x14ac:dyDescent="0.25">
      <c r="A15" s="258" t="s">
        <v>152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zoomScale="130" zoomScaleNormal="130" zoomScaleSheetLayoutView="100" workbookViewId="0">
      <pane ySplit="1" topLeftCell="A22" activePane="bottomLeft" state="frozen"/>
      <selection activeCell="A9" sqref="A9"/>
      <selection pane="bottomLeft" activeCell="C17" sqref="C17"/>
    </sheetView>
  </sheetViews>
  <sheetFormatPr defaultColWidth="9.140625" defaultRowHeight="12.75" x14ac:dyDescent="0.2"/>
  <cols>
    <col min="1" max="1" width="49.42578125" style="4" customWidth="1"/>
    <col min="2" max="2" width="16" style="4" bestFit="1" customWidth="1"/>
    <col min="3" max="3" width="14.5703125" style="4" customWidth="1"/>
    <col min="4" max="4" width="14.7109375" style="122" customWidth="1"/>
    <col min="5" max="5" width="15.42578125" style="122" customWidth="1"/>
    <col min="6" max="6" width="15" style="122" customWidth="1"/>
    <col min="7" max="7" width="28.140625" style="122" customWidth="1"/>
    <col min="8" max="8" width="23.85546875" style="4" hidden="1" customWidth="1"/>
    <col min="9" max="9" width="14.5703125" style="4" customWidth="1"/>
    <col min="10" max="10" width="13.42578125" style="4" customWidth="1"/>
    <col min="11" max="11" width="10.5703125" style="4" bestFit="1" customWidth="1"/>
    <col min="12" max="16384" width="9.140625" style="4"/>
  </cols>
  <sheetData>
    <row r="1" spans="1:7" s="2" customFormat="1" ht="21.75" customHeight="1" thickBot="1" x14ac:dyDescent="0.25">
      <c r="A1" s="315" t="s">
        <v>96</v>
      </c>
      <c r="B1" s="315"/>
      <c r="C1" s="315"/>
      <c r="D1" s="315"/>
      <c r="E1" s="315"/>
      <c r="F1" s="315"/>
      <c r="G1" s="3"/>
    </row>
    <row r="2" spans="1:7" s="5" customFormat="1" ht="15" customHeight="1" x14ac:dyDescent="0.2">
      <c r="A2" s="316" t="s">
        <v>161</v>
      </c>
      <c r="B2" s="317"/>
      <c r="C2" s="317"/>
      <c r="D2" s="317"/>
      <c r="E2" s="317"/>
      <c r="F2" s="318"/>
      <c r="G2" s="14"/>
    </row>
    <row r="3" spans="1:7" s="5" customFormat="1" ht="11.45" customHeight="1" x14ac:dyDescent="0.2">
      <c r="A3" s="319"/>
      <c r="B3" s="320"/>
      <c r="C3" s="320"/>
      <c r="D3" s="320"/>
      <c r="E3" s="320"/>
      <c r="F3" s="321"/>
      <c r="G3" s="14"/>
    </row>
    <row r="4" spans="1:7" s="5" customFormat="1" ht="21.75" customHeight="1" x14ac:dyDescent="0.2">
      <c r="A4" s="322" t="s">
        <v>129</v>
      </c>
      <c r="B4" s="323"/>
      <c r="C4" s="323"/>
      <c r="D4" s="323"/>
      <c r="E4" s="323"/>
      <c r="F4" s="324"/>
      <c r="G4" s="14"/>
    </row>
    <row r="5" spans="1:7" s="2" customFormat="1" ht="10.9" customHeight="1" thickBot="1" x14ac:dyDescent="0.25">
      <c r="A5" s="216"/>
      <c r="B5" s="217"/>
      <c r="C5" s="217"/>
      <c r="D5" s="47"/>
      <c r="E5" s="47"/>
      <c r="F5" s="48"/>
      <c r="G5" s="3"/>
    </row>
    <row r="6" spans="1:7" s="2" customFormat="1" ht="15.75" customHeight="1" thickBot="1" x14ac:dyDescent="0.25">
      <c r="A6" s="325" t="s">
        <v>86</v>
      </c>
      <c r="B6" s="326"/>
      <c r="C6" s="326"/>
      <c r="D6" s="326"/>
      <c r="E6" s="326"/>
      <c r="F6" s="327"/>
      <c r="G6" s="3"/>
    </row>
    <row r="7" spans="1:7" s="2" customFormat="1" ht="15.75" customHeight="1" x14ac:dyDescent="0.2">
      <c r="A7" s="28" t="s">
        <v>85</v>
      </c>
      <c r="B7" s="15"/>
      <c r="C7" s="15"/>
      <c r="D7" s="113"/>
      <c r="E7" s="34" t="s">
        <v>9</v>
      </c>
      <c r="F7" s="16" t="s">
        <v>1</v>
      </c>
      <c r="G7" s="3"/>
    </row>
    <row r="8" spans="1:7" s="7" customFormat="1" ht="15.75" customHeight="1" x14ac:dyDescent="0.2">
      <c r="A8" s="37" t="str">
        <f>A25</f>
        <v>1. Mão-de-obra</v>
      </c>
      <c r="B8" s="38"/>
      <c r="C8" s="39"/>
      <c r="D8" s="39"/>
      <c r="E8" s="168">
        <f>+F66</f>
        <v>10761.508618</v>
      </c>
      <c r="F8" s="136">
        <f t="shared" ref="F8:F20" si="0">IFERROR(E8/$E$21,0)</f>
        <v>0.58756568153003386</v>
      </c>
      <c r="G8" s="19"/>
    </row>
    <row r="9" spans="1:7" s="2" customFormat="1" ht="15.75" customHeight="1" x14ac:dyDescent="0.2">
      <c r="A9" s="22" t="str">
        <f>A26</f>
        <v xml:space="preserve">1.1. Categoria Profissional Prestador de Serviços de Auxiliar de Serviços Gerais - CBO 5143 </v>
      </c>
      <c r="B9" s="20"/>
      <c r="C9" s="21"/>
      <c r="D9" s="21"/>
      <c r="E9" s="169">
        <f>F34</f>
        <v>4203.9829019999997</v>
      </c>
      <c r="F9" s="137">
        <f t="shared" si="0"/>
        <v>0.22953250948688125</v>
      </c>
      <c r="G9" s="3"/>
    </row>
    <row r="10" spans="1:7" s="2" customFormat="1" ht="15.75" customHeight="1" x14ac:dyDescent="0.2">
      <c r="A10" s="22" t="str">
        <f>A36</f>
        <v>1.2. Jardineiro CBO 6220/Encarregado</v>
      </c>
      <c r="B10" s="20"/>
      <c r="C10" s="21"/>
      <c r="D10" s="21"/>
      <c r="E10" s="169">
        <f>F45</f>
        <v>4963.8139160000001</v>
      </c>
      <c r="F10" s="137">
        <f t="shared" si="0"/>
        <v>0.27101838692620434</v>
      </c>
      <c r="G10" s="3"/>
    </row>
    <row r="11" spans="1:7" s="2" customFormat="1" ht="15.75" customHeight="1" x14ac:dyDescent="0.2">
      <c r="A11" s="22" t="str">
        <f>A47</f>
        <v>1.3. Vale Transporte</v>
      </c>
      <c r="B11" s="20"/>
      <c r="C11" s="21"/>
      <c r="D11" s="21"/>
      <c r="E11" s="169">
        <f>F52</f>
        <v>283.09680000000003</v>
      </c>
      <c r="F11" s="137">
        <f t="shared" si="0"/>
        <v>1.5456751477460156E-2</v>
      </c>
      <c r="G11" s="3"/>
    </row>
    <row r="12" spans="1:7" s="2" customFormat="1" ht="15.75" customHeight="1" x14ac:dyDescent="0.2">
      <c r="A12" s="22" t="str">
        <f>A54</f>
        <v xml:space="preserve">1.4. Auxílio Alimentação </v>
      </c>
      <c r="B12" s="20"/>
      <c r="C12" s="21"/>
      <c r="D12" s="21"/>
      <c r="E12" s="169">
        <f>F58</f>
        <v>1099.575</v>
      </c>
      <c r="F12" s="137">
        <f t="shared" si="0"/>
        <v>6.0035498479065287E-2</v>
      </c>
      <c r="G12" s="3"/>
    </row>
    <row r="13" spans="1:7" s="2" customFormat="1" ht="15.75" customHeight="1" x14ac:dyDescent="0.2">
      <c r="A13" s="22" t="str">
        <f>A60</f>
        <v xml:space="preserve">1.5. Plano de Benefício Social  e Prêmio Assiduidade </v>
      </c>
      <c r="B13" s="20"/>
      <c r="C13" s="21"/>
      <c r="D13" s="21"/>
      <c r="E13" s="169">
        <f>F64</f>
        <v>211.04</v>
      </c>
      <c r="F13" s="137">
        <f t="shared" si="0"/>
        <v>1.1522535160422833E-2</v>
      </c>
      <c r="G13" s="3"/>
    </row>
    <row r="14" spans="1:7" s="7" customFormat="1" ht="15.75" customHeight="1" x14ac:dyDescent="0.2">
      <c r="A14" s="328" t="str">
        <f>A68</f>
        <v>2. Uniformes e Equipamentos de Proteção Individual</v>
      </c>
      <c r="B14" s="329"/>
      <c r="C14" s="329"/>
      <c r="D14" s="39"/>
      <c r="E14" s="168">
        <f>+F87</f>
        <v>119.5</v>
      </c>
      <c r="F14" s="136">
        <f t="shared" si="0"/>
        <v>6.5245590962401852E-3</v>
      </c>
      <c r="G14" s="19"/>
    </row>
    <row r="15" spans="1:7" s="7" customFormat="1" ht="15.75" customHeight="1" x14ac:dyDescent="0.2">
      <c r="A15" s="29" t="str">
        <f>A69</f>
        <v>2.1. Uniformes e EPIs</v>
      </c>
      <c r="B15" s="193"/>
      <c r="C15" s="193"/>
      <c r="D15" s="39"/>
      <c r="E15" s="170">
        <f>F85</f>
        <v>119.5</v>
      </c>
      <c r="F15" s="218">
        <f t="shared" si="0"/>
        <v>6.5245590962401852E-3</v>
      </c>
      <c r="G15" s="19"/>
    </row>
    <row r="16" spans="1:7" s="7" customFormat="1" ht="15.75" customHeight="1" x14ac:dyDescent="0.2">
      <c r="A16" s="192" t="str">
        <f>A89</f>
        <v xml:space="preserve">3. Administração Local/Veículo de Apoio </v>
      </c>
      <c r="B16" s="193"/>
      <c r="C16" s="193"/>
      <c r="D16" s="39"/>
      <c r="E16" s="178">
        <f>F109</f>
        <v>987.22016666666673</v>
      </c>
      <c r="F16" s="136">
        <f t="shared" si="0"/>
        <v>5.3901057057880772E-2</v>
      </c>
      <c r="G16" s="19"/>
    </row>
    <row r="17" spans="1:9" s="7" customFormat="1" ht="15.75" customHeight="1" x14ac:dyDescent="0.2">
      <c r="A17" s="288" t="str">
        <f>A111</f>
        <v>4. Materiais de consumo/limpeza</v>
      </c>
      <c r="B17" s="289"/>
      <c r="C17" s="289"/>
      <c r="D17" s="39"/>
      <c r="E17" s="178">
        <f>F149</f>
        <v>3041.7466666666651</v>
      </c>
      <c r="F17" s="136">
        <f t="shared" si="0"/>
        <v>0.16607578144316529</v>
      </c>
      <c r="G17" s="19"/>
    </row>
    <row r="18" spans="1:9" s="7" customFormat="1" ht="15.75" customHeight="1" x14ac:dyDescent="0.2">
      <c r="A18" s="29" t="str">
        <f>A112</f>
        <v xml:space="preserve">4.1 Materiais de consumo/limpeza - MENSAL </v>
      </c>
      <c r="B18" s="289"/>
      <c r="C18" s="289"/>
      <c r="D18" s="39"/>
      <c r="E18" s="301">
        <f>F137</f>
        <v>2790.1199999999985</v>
      </c>
      <c r="F18" s="218">
        <f t="shared" si="0"/>
        <v>0.15233726213892598</v>
      </c>
      <c r="G18" s="19"/>
    </row>
    <row r="19" spans="1:9" s="7" customFormat="1" ht="15.75" customHeight="1" x14ac:dyDescent="0.2">
      <c r="A19" s="29" t="str">
        <f>A139</f>
        <v>4.2 Materiais de consumo/limpeza - TRIMESTRAL</v>
      </c>
      <c r="B19" s="289"/>
      <c r="C19" s="289"/>
      <c r="D19" s="39"/>
      <c r="E19" s="301">
        <f>F148</f>
        <v>251.62666666666669</v>
      </c>
      <c r="F19" s="218">
        <f t="shared" si="0"/>
        <v>1.3738519304239307E-2</v>
      </c>
      <c r="G19" s="19"/>
    </row>
    <row r="20" spans="1:9" s="7" customFormat="1" ht="15.75" customHeight="1" thickBot="1" x14ac:dyDescent="0.25">
      <c r="A20" s="192" t="str">
        <f>A153</f>
        <v>5. Benefícios e Despesas Indiretas</v>
      </c>
      <c r="B20" s="40"/>
      <c r="C20" s="39"/>
      <c r="D20" s="39"/>
      <c r="E20" s="171">
        <f>F157</f>
        <v>3405.4383930845329</v>
      </c>
      <c r="F20" s="136">
        <f t="shared" si="0"/>
        <v>0.1859329208726799</v>
      </c>
      <c r="G20" s="19"/>
    </row>
    <row r="21" spans="1:9" s="2" customFormat="1" ht="15.75" customHeight="1" thickBot="1" x14ac:dyDescent="0.25">
      <c r="A21" s="17" t="s">
        <v>108</v>
      </c>
      <c r="B21" s="18"/>
      <c r="C21" s="11"/>
      <c r="D21" s="11"/>
      <c r="E21" s="219">
        <f>E8+E14+E20+E16+E17</f>
        <v>18315.413844417864</v>
      </c>
      <c r="F21" s="138">
        <f>F8+F14+F20+F16+F17</f>
        <v>0.99999999999999989</v>
      </c>
      <c r="G21" s="3"/>
    </row>
    <row r="22" spans="1:9" s="2" customFormat="1" ht="15.75" customHeight="1" thickBot="1" x14ac:dyDescent="0.25">
      <c r="A22" s="146"/>
      <c r="B22" s="220"/>
      <c r="C22" s="13"/>
      <c r="D22" s="13"/>
      <c r="E22" s="221"/>
      <c r="F22" s="147"/>
      <c r="G22" s="3"/>
    </row>
    <row r="23" spans="1:9" s="7" customFormat="1" ht="15.75" customHeight="1" thickBot="1" x14ac:dyDescent="0.25">
      <c r="A23" s="114" t="s">
        <v>84</v>
      </c>
      <c r="B23" s="144">
        <f>44/44</f>
        <v>1</v>
      </c>
      <c r="C23" s="13"/>
      <c r="E23" s="49"/>
      <c r="G23" s="19"/>
    </row>
    <row r="24" spans="1:9" s="2" customFormat="1" ht="15.75" customHeight="1" x14ac:dyDescent="0.2">
      <c r="A24" s="188"/>
      <c r="B24" s="188"/>
      <c r="C24" s="188"/>
      <c r="D24" s="4"/>
      <c r="E24" s="222"/>
      <c r="F24" s="4"/>
      <c r="G24" s="3"/>
    </row>
    <row r="25" spans="1:9" ht="13.15" customHeight="1" x14ac:dyDescent="0.2">
      <c r="A25" s="7" t="s">
        <v>14</v>
      </c>
    </row>
    <row r="26" spans="1:9" ht="13.9" customHeight="1" thickBot="1" x14ac:dyDescent="0.25">
      <c r="A26" s="338" t="s">
        <v>202</v>
      </c>
      <c r="B26" s="338"/>
      <c r="C26" s="338"/>
      <c r="D26" s="338"/>
      <c r="E26" s="338"/>
      <c r="F26" s="338"/>
    </row>
    <row r="27" spans="1:9" ht="13.9" customHeight="1" thickBot="1" x14ac:dyDescent="0.25">
      <c r="A27" s="24" t="s">
        <v>15</v>
      </c>
      <c r="B27" s="25" t="s">
        <v>16</v>
      </c>
      <c r="C27" s="25" t="s">
        <v>10</v>
      </c>
      <c r="D27" s="26" t="s">
        <v>93</v>
      </c>
      <c r="E27" s="26" t="s">
        <v>17</v>
      </c>
      <c r="F27" s="27" t="s">
        <v>18</v>
      </c>
    </row>
    <row r="28" spans="1:9" ht="13.15" customHeight="1" x14ac:dyDescent="0.2">
      <c r="A28" s="121" t="s">
        <v>89</v>
      </c>
      <c r="B28" s="198" t="s">
        <v>6</v>
      </c>
      <c r="C28" s="198">
        <v>1</v>
      </c>
      <c r="D28" s="223">
        <v>1765.86</v>
      </c>
      <c r="E28" s="224">
        <f>C28*D28</f>
        <v>1765.86</v>
      </c>
    </row>
    <row r="29" spans="1:9" x14ac:dyDescent="0.2">
      <c r="A29" s="120" t="s">
        <v>0</v>
      </c>
      <c r="B29" s="156" t="s">
        <v>1</v>
      </c>
      <c r="C29" s="204">
        <v>40</v>
      </c>
      <c r="D29" s="225">
        <f>SUM(E28:E28)</f>
        <v>1765.86</v>
      </c>
      <c r="E29" s="141">
        <f>C29*D29/100</f>
        <v>706.34399999999994</v>
      </c>
      <c r="H29" s="121" t="s">
        <v>89</v>
      </c>
    </row>
    <row r="30" spans="1:9" x14ac:dyDescent="0.2">
      <c r="A30" s="142" t="s">
        <v>2</v>
      </c>
      <c r="B30" s="35"/>
      <c r="C30" s="35"/>
      <c r="D30" s="139"/>
      <c r="E30" s="226">
        <f>SUM(E28:E29)</f>
        <v>2472.2039999999997</v>
      </c>
      <c r="H30" s="145" t="s">
        <v>2</v>
      </c>
    </row>
    <row r="31" spans="1:9" x14ac:dyDescent="0.2">
      <c r="A31" s="120" t="s">
        <v>3</v>
      </c>
      <c r="B31" s="156" t="s">
        <v>1</v>
      </c>
      <c r="C31" s="201">
        <f>'3.Encargos Sociais'!C34*100</f>
        <v>70.050000000000011</v>
      </c>
      <c r="D31" s="141">
        <f>E28+E29</f>
        <v>2472.2039999999997</v>
      </c>
      <c r="E31" s="141">
        <f>D31*C31/100</f>
        <v>1731.778902</v>
      </c>
      <c r="H31" s="120" t="s">
        <v>3</v>
      </c>
      <c r="I31" s="227"/>
    </row>
    <row r="32" spans="1:9" x14ac:dyDescent="0.2">
      <c r="A32" s="142" t="s">
        <v>134</v>
      </c>
      <c r="B32" s="35"/>
      <c r="C32" s="35"/>
      <c r="D32" s="139"/>
      <c r="E32" s="140">
        <f>E28+E29+E31</f>
        <v>4203.9829019999997</v>
      </c>
      <c r="H32" s="145" t="s">
        <v>135</v>
      </c>
    </row>
    <row r="33" spans="1:9" ht="13.5" thickBot="1" x14ac:dyDescent="0.25">
      <c r="A33" s="120" t="s">
        <v>4</v>
      </c>
      <c r="B33" s="156" t="s">
        <v>5</v>
      </c>
      <c r="C33" s="204">
        <v>1</v>
      </c>
      <c r="D33" s="141">
        <f>E32</f>
        <v>4203.9829019999997</v>
      </c>
      <c r="E33" s="141">
        <f>C33*D33</f>
        <v>4203.9829019999997</v>
      </c>
      <c r="G33" s="3"/>
      <c r="H33" s="120" t="s">
        <v>4</v>
      </c>
    </row>
    <row r="34" spans="1:9" ht="13.9" customHeight="1" thickBot="1" x14ac:dyDescent="0.25">
      <c r="A34" s="8"/>
      <c r="D34" s="162" t="s">
        <v>97</v>
      </c>
      <c r="E34" s="163">
        <f>B23</f>
        <v>1</v>
      </c>
      <c r="F34" s="182">
        <f>(((E28+E31)*E34)+E29)*C33</f>
        <v>4203.9829019999997</v>
      </c>
      <c r="G34" s="3"/>
    </row>
    <row r="35" spans="1:9" ht="13.9" customHeight="1" x14ac:dyDescent="0.2">
      <c r="A35" s="330"/>
      <c r="B35" s="331"/>
      <c r="C35" s="331"/>
      <c r="D35" s="331"/>
      <c r="E35" s="228"/>
      <c r="F35" s="132"/>
      <c r="G35" s="3"/>
      <c r="I35" s="227"/>
    </row>
    <row r="36" spans="1:9" ht="13.5" thickBot="1" x14ac:dyDescent="0.25">
      <c r="A36" s="4" t="s">
        <v>203</v>
      </c>
      <c r="G36" s="3"/>
    </row>
    <row r="37" spans="1:9" ht="13.5" thickBot="1" x14ac:dyDescent="0.25">
      <c r="A37" s="24" t="s">
        <v>15</v>
      </c>
      <c r="B37" s="25" t="s">
        <v>16</v>
      </c>
      <c r="C37" s="25" t="s">
        <v>10</v>
      </c>
      <c r="D37" s="26" t="s">
        <v>93</v>
      </c>
      <c r="E37" s="26" t="s">
        <v>17</v>
      </c>
      <c r="F37" s="27" t="s">
        <v>18</v>
      </c>
      <c r="G37" s="3"/>
    </row>
    <row r="38" spans="1:9" x14ac:dyDescent="0.2">
      <c r="A38" s="121" t="s">
        <v>89</v>
      </c>
      <c r="B38" s="198" t="s">
        <v>6</v>
      </c>
      <c r="C38" s="198">
        <v>1</v>
      </c>
      <c r="D38" s="184">
        <v>1765.86</v>
      </c>
      <c r="E38" s="172">
        <f>C38*D38</f>
        <v>1765.86</v>
      </c>
      <c r="G38" s="3"/>
    </row>
    <row r="39" spans="1:9" x14ac:dyDescent="0.2">
      <c r="A39" s="120" t="s">
        <v>0</v>
      </c>
      <c r="B39" s="156" t="s">
        <v>1</v>
      </c>
      <c r="C39" s="204">
        <v>20</v>
      </c>
      <c r="D39" s="225">
        <f>SUM(E38:E38)</f>
        <v>1765.86</v>
      </c>
      <c r="E39" s="141">
        <f>C39*D39/100</f>
        <v>353.17199999999997</v>
      </c>
      <c r="G39" s="3"/>
    </row>
    <row r="40" spans="1:9" x14ac:dyDescent="0.2">
      <c r="A40" s="120" t="s">
        <v>116</v>
      </c>
      <c r="B40" s="156" t="s">
        <v>6</v>
      </c>
      <c r="C40" s="156">
        <v>1</v>
      </c>
      <c r="D40" s="199">
        <v>800</v>
      </c>
      <c r="E40" s="175">
        <f>C40*D40</f>
        <v>800</v>
      </c>
      <c r="G40" s="3"/>
    </row>
    <row r="41" spans="1:9" x14ac:dyDescent="0.2">
      <c r="A41" s="121" t="s">
        <v>2</v>
      </c>
      <c r="B41" s="35"/>
      <c r="C41" s="35"/>
      <c r="D41" s="200"/>
      <c r="E41" s="310">
        <f>E38+E40+E39</f>
        <v>2919.0319999999997</v>
      </c>
      <c r="F41" s="19"/>
      <c r="G41" s="3"/>
    </row>
    <row r="42" spans="1:9" x14ac:dyDescent="0.2">
      <c r="A42" s="120" t="s">
        <v>3</v>
      </c>
      <c r="B42" s="156" t="s">
        <v>1</v>
      </c>
      <c r="C42" s="201">
        <f>'3.Encargos Sociais'!C34*100</f>
        <v>70.050000000000011</v>
      </c>
      <c r="D42" s="175">
        <f>E41</f>
        <v>2919.0319999999997</v>
      </c>
      <c r="E42" s="175">
        <f>D42*C42/100</f>
        <v>2044.7819160000001</v>
      </c>
      <c r="G42" s="3"/>
    </row>
    <row r="43" spans="1:9" x14ac:dyDescent="0.2">
      <c r="A43" s="120" t="s">
        <v>117</v>
      </c>
      <c r="B43" s="202"/>
      <c r="C43" s="202"/>
      <c r="D43" s="203"/>
      <c r="E43" s="175">
        <f>E41+E42</f>
        <v>4963.8139160000001</v>
      </c>
      <c r="F43" s="19"/>
      <c r="G43" s="3"/>
    </row>
    <row r="44" spans="1:9" ht="13.5" thickBot="1" x14ac:dyDescent="0.25">
      <c r="A44" s="120" t="s">
        <v>4</v>
      </c>
      <c r="B44" s="156" t="s">
        <v>5</v>
      </c>
      <c r="C44" s="204">
        <v>1</v>
      </c>
      <c r="D44" s="175">
        <f>E43</f>
        <v>4963.8139160000001</v>
      </c>
      <c r="E44" s="175">
        <f>C44*D44</f>
        <v>4963.8139160000001</v>
      </c>
      <c r="G44" s="3"/>
    </row>
    <row r="45" spans="1:9" ht="13.5" thickBot="1" x14ac:dyDescent="0.25">
      <c r="A45" s="332"/>
      <c r="B45" s="332"/>
      <c r="C45" s="332"/>
      <c r="D45" s="162" t="s">
        <v>97</v>
      </c>
      <c r="E45" s="163">
        <v>1</v>
      </c>
      <c r="F45" s="182">
        <f>E44*E45</f>
        <v>4963.8139160000001</v>
      </c>
      <c r="G45" s="3"/>
    </row>
    <row r="46" spans="1:9" x14ac:dyDescent="0.2">
      <c r="D46" s="4"/>
      <c r="E46" s="228"/>
      <c r="F46" s="132"/>
      <c r="G46" s="3"/>
    </row>
    <row r="47" spans="1:9" ht="11.25" customHeight="1" thickBot="1" x14ac:dyDescent="0.25">
      <c r="A47" s="4" t="s">
        <v>149</v>
      </c>
      <c r="B47" s="154"/>
      <c r="D47" s="4"/>
      <c r="E47" s="155"/>
      <c r="I47" s="229"/>
    </row>
    <row r="48" spans="1:9" ht="14.45" customHeight="1" thickBot="1" x14ac:dyDescent="0.25">
      <c r="A48" s="24" t="s">
        <v>15</v>
      </c>
      <c r="B48" s="25" t="s">
        <v>16</v>
      </c>
      <c r="C48" s="25" t="s">
        <v>10</v>
      </c>
      <c r="D48" s="26" t="s">
        <v>93</v>
      </c>
      <c r="E48" s="26" t="s">
        <v>17</v>
      </c>
      <c r="F48" s="27" t="s">
        <v>18</v>
      </c>
      <c r="I48" s="229"/>
    </row>
    <row r="49" spans="1:11" ht="15" customHeight="1" x14ac:dyDescent="0.2">
      <c r="A49" s="120" t="s">
        <v>118</v>
      </c>
      <c r="B49" s="156" t="s">
        <v>119</v>
      </c>
      <c r="C49" s="157">
        <v>1</v>
      </c>
      <c r="D49" s="158">
        <v>4.95</v>
      </c>
      <c r="E49" s="159"/>
      <c r="I49" s="229"/>
    </row>
    <row r="50" spans="1:11" ht="13.9" customHeight="1" x14ac:dyDescent="0.2">
      <c r="A50" s="120" t="s">
        <v>120</v>
      </c>
      <c r="B50" s="156" t="s">
        <v>121</v>
      </c>
      <c r="C50" s="160">
        <v>25</v>
      </c>
      <c r="D50" s="159"/>
      <c r="E50" s="159"/>
      <c r="I50" s="229"/>
    </row>
    <row r="51" spans="1:11" ht="14.45" customHeight="1" thickBot="1" x14ac:dyDescent="0.25">
      <c r="A51" s="120" t="s">
        <v>166</v>
      </c>
      <c r="B51" s="156" t="s">
        <v>122</v>
      </c>
      <c r="C51" s="176">
        <f>$C$50*2*(C33+C44)</f>
        <v>100</v>
      </c>
      <c r="D51" s="161">
        <f>IFERROR((($C$50*2*$D$49)-(E28*0.06*C50/C50))/($C$50*2),"-")</f>
        <v>2.8309680000000004</v>
      </c>
      <c r="E51" s="159">
        <f>IFERROR(C51*D51,"-")</f>
        <v>283.09680000000003</v>
      </c>
      <c r="I51" s="229"/>
    </row>
    <row r="52" spans="1:11" ht="14.45" customHeight="1" thickBot="1" x14ac:dyDescent="0.25">
      <c r="F52" s="164">
        <f>SUM(E51:E51)</f>
        <v>283.09680000000003</v>
      </c>
      <c r="I52" s="229"/>
    </row>
    <row r="53" spans="1:11" ht="11.25" customHeight="1" x14ac:dyDescent="0.2">
      <c r="I53" s="229"/>
    </row>
    <row r="54" spans="1:11" ht="13.5" thickBot="1" x14ac:dyDescent="0.25">
      <c r="A54" s="4" t="s">
        <v>151</v>
      </c>
      <c r="F54" s="9"/>
      <c r="I54" s="230"/>
    </row>
    <row r="55" spans="1:11" ht="13.5" thickBot="1" x14ac:dyDescent="0.25">
      <c r="A55" s="24" t="s">
        <v>15</v>
      </c>
      <c r="B55" s="25" t="s">
        <v>16</v>
      </c>
      <c r="C55" s="25" t="s">
        <v>10</v>
      </c>
      <c r="D55" s="26" t="s">
        <v>93</v>
      </c>
      <c r="E55" s="26" t="s">
        <v>17</v>
      </c>
      <c r="F55" s="27" t="s">
        <v>18</v>
      </c>
      <c r="K55" s="231"/>
    </row>
    <row r="56" spans="1:11" ht="13.5" thickBot="1" x14ac:dyDescent="0.25">
      <c r="A56" s="120" t="s">
        <v>167</v>
      </c>
      <c r="B56" s="156" t="s">
        <v>7</v>
      </c>
      <c r="C56" s="183">
        <f>((C44+C33)*C50)</f>
        <v>50</v>
      </c>
      <c r="D56" s="165">
        <f>27.15*0.81</f>
        <v>21.991500000000002</v>
      </c>
      <c r="E56" s="205">
        <f>(D56*C56)</f>
        <v>1099.575</v>
      </c>
      <c r="F56" s="9"/>
      <c r="I56" s="230"/>
    </row>
    <row r="57" spans="1:11" ht="13.5" hidden="1" thickBot="1" x14ac:dyDescent="0.25">
      <c r="A57" s="120" t="s">
        <v>148</v>
      </c>
      <c r="B57" s="156" t="s">
        <v>7</v>
      </c>
      <c r="C57" s="183">
        <v>0</v>
      </c>
      <c r="D57" s="165">
        <f>27.15*0.81</f>
        <v>21.991500000000002</v>
      </c>
      <c r="E57" s="205">
        <f>(D57*C57)</f>
        <v>0</v>
      </c>
      <c r="F57" s="9"/>
      <c r="I57" s="230"/>
    </row>
    <row r="58" spans="1:11" ht="13.5" thickBot="1" x14ac:dyDescent="0.25">
      <c r="A58" s="166"/>
      <c r="B58" s="166"/>
      <c r="D58" s="162" t="s">
        <v>97</v>
      </c>
      <c r="E58" s="186">
        <v>1</v>
      </c>
      <c r="F58" s="167">
        <f>SUM(E56:E57)*E58</f>
        <v>1099.575</v>
      </c>
      <c r="G58" s="231"/>
    </row>
    <row r="59" spans="1:11" x14ac:dyDescent="0.2">
      <c r="A59" s="232"/>
      <c r="B59" s="232"/>
      <c r="D59" s="162"/>
      <c r="E59" s="188"/>
      <c r="F59" s="233"/>
      <c r="G59" s="4"/>
    </row>
    <row r="60" spans="1:11" ht="13.5" thickBot="1" x14ac:dyDescent="0.25">
      <c r="A60" s="4" t="s">
        <v>157</v>
      </c>
      <c r="F60" s="9"/>
      <c r="G60" s="4"/>
    </row>
    <row r="61" spans="1:11" ht="13.5" thickBot="1" x14ac:dyDescent="0.25">
      <c r="A61" s="24" t="s">
        <v>15</v>
      </c>
      <c r="B61" s="25" t="s">
        <v>16</v>
      </c>
      <c r="C61" s="25" t="s">
        <v>10</v>
      </c>
      <c r="D61" s="26" t="s">
        <v>93</v>
      </c>
      <c r="E61" s="26" t="s">
        <v>17</v>
      </c>
      <c r="F61" s="27" t="s">
        <v>18</v>
      </c>
      <c r="G61" s="4"/>
    </row>
    <row r="62" spans="1:11" x14ac:dyDescent="0.2">
      <c r="A62" s="120" t="s">
        <v>123</v>
      </c>
      <c r="B62" s="156" t="s">
        <v>7</v>
      </c>
      <c r="C62" s="177">
        <f>C33+C44</f>
        <v>2</v>
      </c>
      <c r="D62" s="165">
        <v>25.52</v>
      </c>
      <c r="E62" s="205">
        <f>C62*D62</f>
        <v>51.04</v>
      </c>
      <c r="F62" s="9"/>
      <c r="G62" s="4"/>
    </row>
    <row r="63" spans="1:11" ht="13.5" thickBot="1" x14ac:dyDescent="0.25">
      <c r="A63" s="120" t="s">
        <v>158</v>
      </c>
      <c r="B63" s="156" t="s">
        <v>7</v>
      </c>
      <c r="C63" s="177">
        <f>C33+C44</f>
        <v>2</v>
      </c>
      <c r="D63" s="165">
        <v>80</v>
      </c>
      <c r="E63" s="205">
        <f>C63*D63</f>
        <v>160</v>
      </c>
      <c r="F63" s="9"/>
      <c r="G63" s="4"/>
    </row>
    <row r="64" spans="1:11" ht="13.5" thickBot="1" x14ac:dyDescent="0.25">
      <c r="A64" s="166"/>
      <c r="B64" s="166"/>
      <c r="D64" s="162" t="s">
        <v>97</v>
      </c>
      <c r="E64" s="186">
        <v>1</v>
      </c>
      <c r="F64" s="167">
        <f>SUM(E62:E63)*E64</f>
        <v>211.04</v>
      </c>
      <c r="G64" s="4"/>
    </row>
    <row r="65" spans="1:8" ht="13.5" thickBot="1" x14ac:dyDescent="0.25">
      <c r="A65" s="232"/>
      <c r="B65" s="232"/>
      <c r="D65" s="162"/>
      <c r="E65" s="188"/>
      <c r="F65" s="233"/>
      <c r="G65" s="4"/>
    </row>
    <row r="66" spans="1:8" ht="13.5" thickBot="1" x14ac:dyDescent="0.25">
      <c r="A66" s="123" t="s">
        <v>98</v>
      </c>
      <c r="B66" s="124"/>
      <c r="C66" s="124"/>
      <c r="D66" s="125"/>
      <c r="E66" s="126"/>
      <c r="F66" s="179">
        <f>F34+F52+F58+F64+F45</f>
        <v>10761.508618</v>
      </c>
      <c r="G66" s="4"/>
      <c r="H66" s="234"/>
    </row>
    <row r="67" spans="1:8" ht="15" customHeight="1" x14ac:dyDescent="0.2"/>
    <row r="68" spans="1:8" x14ac:dyDescent="0.2">
      <c r="A68" s="7" t="s">
        <v>13</v>
      </c>
      <c r="G68" s="4"/>
    </row>
    <row r="69" spans="1:8" ht="13.9" customHeight="1" thickBot="1" x14ac:dyDescent="0.25">
      <c r="A69" s="4" t="s">
        <v>109</v>
      </c>
      <c r="G69" s="4"/>
    </row>
    <row r="70" spans="1:8" ht="27.75" customHeight="1" thickBot="1" x14ac:dyDescent="0.25">
      <c r="A70" s="24" t="s">
        <v>15</v>
      </c>
      <c r="B70" s="25" t="s">
        <v>16</v>
      </c>
      <c r="C70" s="118" t="s">
        <v>130</v>
      </c>
      <c r="D70" s="26" t="s">
        <v>93</v>
      </c>
      <c r="E70" s="26" t="s">
        <v>17</v>
      </c>
      <c r="F70" s="27" t="s">
        <v>18</v>
      </c>
      <c r="G70" s="4"/>
    </row>
    <row r="71" spans="1:8" ht="13.15" customHeight="1" x14ac:dyDescent="0.2">
      <c r="A71" s="121" t="s">
        <v>159</v>
      </c>
      <c r="B71" s="198" t="s">
        <v>7</v>
      </c>
      <c r="C71" s="173">
        <v>12</v>
      </c>
      <c r="D71" s="184">
        <v>170</v>
      </c>
      <c r="E71" s="161">
        <f>IFERROR(D71/C71,0)</f>
        <v>14.166666666666666</v>
      </c>
      <c r="G71" s="4"/>
    </row>
    <row r="72" spans="1:8" ht="13.15" customHeight="1" x14ac:dyDescent="0.2">
      <c r="A72" s="120" t="s">
        <v>124</v>
      </c>
      <c r="B72" s="156" t="s">
        <v>7</v>
      </c>
      <c r="C72" s="173">
        <v>6</v>
      </c>
      <c r="D72" s="184">
        <v>75</v>
      </c>
      <c r="E72" s="161">
        <f>IFERROR(D72/C72,0)</f>
        <v>12.5</v>
      </c>
      <c r="G72" s="4"/>
    </row>
    <row r="73" spans="1:8" x14ac:dyDescent="0.2">
      <c r="A73" s="120" t="s">
        <v>181</v>
      </c>
      <c r="B73" s="156" t="s">
        <v>7</v>
      </c>
      <c r="C73" s="173">
        <v>4</v>
      </c>
      <c r="D73" s="278">
        <v>45</v>
      </c>
      <c r="E73" s="161">
        <f t="shared" ref="E73:E83" si="1">IFERROR(D73/C73,0)</f>
        <v>11.25</v>
      </c>
      <c r="G73" s="4"/>
    </row>
    <row r="74" spans="1:8" x14ac:dyDescent="0.2">
      <c r="A74" s="120" t="s">
        <v>182</v>
      </c>
      <c r="B74" s="156" t="s">
        <v>7</v>
      </c>
      <c r="C74" s="173">
        <v>4</v>
      </c>
      <c r="D74" s="278">
        <v>43</v>
      </c>
      <c r="E74" s="161">
        <f t="shared" si="1"/>
        <v>10.75</v>
      </c>
      <c r="G74" s="4"/>
    </row>
    <row r="75" spans="1:8" x14ac:dyDescent="0.2">
      <c r="A75" s="120" t="s">
        <v>183</v>
      </c>
      <c r="B75" s="156" t="s">
        <v>7</v>
      </c>
      <c r="C75" s="173">
        <v>6</v>
      </c>
      <c r="D75" s="184">
        <v>48</v>
      </c>
      <c r="E75" s="161">
        <f t="shared" si="1"/>
        <v>8</v>
      </c>
      <c r="G75" s="4"/>
    </row>
    <row r="76" spans="1:8" x14ac:dyDescent="0.2">
      <c r="A76" s="120" t="s">
        <v>184</v>
      </c>
      <c r="B76" s="156" t="s">
        <v>7</v>
      </c>
      <c r="C76" s="173">
        <v>6</v>
      </c>
      <c r="D76" s="184">
        <v>50</v>
      </c>
      <c r="E76" s="161">
        <f t="shared" si="1"/>
        <v>8.3333333333333339</v>
      </c>
      <c r="G76" s="4"/>
    </row>
    <row r="77" spans="1:8" x14ac:dyDescent="0.2">
      <c r="A77" s="120" t="s">
        <v>185</v>
      </c>
      <c r="B77" s="156" t="s">
        <v>125</v>
      </c>
      <c r="C77" s="173">
        <v>6</v>
      </c>
      <c r="D77" s="184">
        <v>75</v>
      </c>
      <c r="E77" s="161">
        <f t="shared" si="1"/>
        <v>12.5</v>
      </c>
      <c r="G77" s="4"/>
    </row>
    <row r="78" spans="1:8" x14ac:dyDescent="0.2">
      <c r="A78" s="120" t="s">
        <v>186</v>
      </c>
      <c r="B78" s="156" t="s">
        <v>125</v>
      </c>
      <c r="C78" s="173">
        <v>2</v>
      </c>
      <c r="D78" s="184">
        <v>12</v>
      </c>
      <c r="E78" s="161">
        <f t="shared" si="1"/>
        <v>6</v>
      </c>
      <c r="G78" s="4"/>
    </row>
    <row r="79" spans="1:8" x14ac:dyDescent="0.2">
      <c r="A79" s="120" t="s">
        <v>187</v>
      </c>
      <c r="B79" s="156" t="s">
        <v>7</v>
      </c>
      <c r="C79" s="173">
        <v>6</v>
      </c>
      <c r="D79" s="184">
        <v>55</v>
      </c>
      <c r="E79" s="161">
        <f t="shared" si="1"/>
        <v>9.1666666666666661</v>
      </c>
      <c r="G79" s="4"/>
    </row>
    <row r="80" spans="1:8" x14ac:dyDescent="0.2">
      <c r="A80" s="153" t="s">
        <v>188</v>
      </c>
      <c r="B80" s="207" t="s">
        <v>7</v>
      </c>
      <c r="C80" s="173">
        <v>6</v>
      </c>
      <c r="D80" s="184">
        <v>33</v>
      </c>
      <c r="E80" s="161">
        <f t="shared" si="1"/>
        <v>5.5</v>
      </c>
      <c r="G80" s="4"/>
    </row>
    <row r="81" spans="1:7" x14ac:dyDescent="0.2">
      <c r="A81" s="120" t="s">
        <v>189</v>
      </c>
      <c r="B81" s="156" t="s">
        <v>125</v>
      </c>
      <c r="C81" s="173">
        <v>2</v>
      </c>
      <c r="D81" s="184">
        <v>10</v>
      </c>
      <c r="E81" s="161">
        <f t="shared" si="1"/>
        <v>5</v>
      </c>
      <c r="G81" s="4"/>
    </row>
    <row r="82" spans="1:7" x14ac:dyDescent="0.2">
      <c r="A82" s="120" t="s">
        <v>190</v>
      </c>
      <c r="B82" s="156" t="s">
        <v>16</v>
      </c>
      <c r="C82" s="173">
        <v>6</v>
      </c>
      <c r="D82" s="184">
        <v>20</v>
      </c>
      <c r="E82" s="161">
        <f t="shared" si="1"/>
        <v>3.3333333333333335</v>
      </c>
      <c r="G82" s="4"/>
    </row>
    <row r="83" spans="1:7" x14ac:dyDescent="0.2">
      <c r="A83" s="120" t="s">
        <v>191</v>
      </c>
      <c r="B83" s="156" t="s">
        <v>192</v>
      </c>
      <c r="C83" s="173">
        <v>2</v>
      </c>
      <c r="D83" s="184">
        <v>26</v>
      </c>
      <c r="E83" s="161">
        <f t="shared" si="1"/>
        <v>13</v>
      </c>
      <c r="G83" s="4"/>
    </row>
    <row r="84" spans="1:7" ht="13.5" thickBot="1" x14ac:dyDescent="0.25">
      <c r="A84" s="333" t="s">
        <v>136</v>
      </c>
      <c r="B84" s="334"/>
      <c r="C84" s="235">
        <f>C33</f>
        <v>1</v>
      </c>
      <c r="D84" s="174">
        <f>+SUM(E71:E83)</f>
        <v>119.5</v>
      </c>
      <c r="E84" s="175">
        <f>C84*D84</f>
        <v>119.5</v>
      </c>
    </row>
    <row r="85" spans="1:7" ht="13.5" thickBot="1" x14ac:dyDescent="0.25">
      <c r="D85" s="162" t="s">
        <v>97</v>
      </c>
      <c r="E85" s="163">
        <f>E34</f>
        <v>1</v>
      </c>
      <c r="F85" s="182">
        <f>E84*E85</f>
        <v>119.5</v>
      </c>
    </row>
    <row r="86" spans="1:7" ht="11.25" customHeight="1" thickBot="1" x14ac:dyDescent="0.25">
      <c r="G86" s="4"/>
    </row>
    <row r="87" spans="1:7" ht="13.5" thickBot="1" x14ac:dyDescent="0.25">
      <c r="A87" s="123" t="s">
        <v>99</v>
      </c>
      <c r="B87" s="127"/>
      <c r="C87" s="127"/>
      <c r="D87" s="128"/>
      <c r="E87" s="129"/>
      <c r="F87" s="236">
        <f>+F85</f>
        <v>119.5</v>
      </c>
      <c r="G87" s="4"/>
    </row>
    <row r="88" spans="1:7" ht="11.25" customHeight="1" x14ac:dyDescent="0.2">
      <c r="G88" s="4"/>
    </row>
    <row r="89" spans="1:7" ht="11.25" customHeight="1" thickBot="1" x14ac:dyDescent="0.25">
      <c r="A89" s="7" t="s">
        <v>137</v>
      </c>
      <c r="G89" s="4"/>
    </row>
    <row r="90" spans="1:7" ht="11.25" customHeight="1" thickBot="1" x14ac:dyDescent="0.25">
      <c r="A90" s="24" t="s">
        <v>15</v>
      </c>
      <c r="B90" s="25" t="s">
        <v>16</v>
      </c>
      <c r="C90" s="25" t="s">
        <v>10</v>
      </c>
      <c r="D90" s="26" t="s">
        <v>93</v>
      </c>
      <c r="E90" s="26" t="s">
        <v>17</v>
      </c>
      <c r="F90" s="27" t="s">
        <v>18</v>
      </c>
      <c r="G90" s="4"/>
    </row>
    <row r="91" spans="1:7" ht="18.75" customHeight="1" x14ac:dyDescent="0.2">
      <c r="A91" s="260" t="s">
        <v>168</v>
      </c>
      <c r="B91" s="261" t="s">
        <v>7</v>
      </c>
      <c r="C91" s="262">
        <v>1</v>
      </c>
      <c r="D91" s="263">
        <v>1900</v>
      </c>
      <c r="E91" s="264">
        <f t="shared" ref="E91:E96" si="2">C91*D91</f>
        <v>1900</v>
      </c>
      <c r="G91" s="4"/>
    </row>
    <row r="92" spans="1:7" ht="18.75" customHeight="1" x14ac:dyDescent="0.2">
      <c r="A92" s="260" t="s">
        <v>169</v>
      </c>
      <c r="B92" s="261" t="s">
        <v>7</v>
      </c>
      <c r="C92" s="262">
        <v>1</v>
      </c>
      <c r="D92" s="263">
        <v>2200</v>
      </c>
      <c r="E92" s="264">
        <f t="shared" si="2"/>
        <v>2200</v>
      </c>
      <c r="G92" s="4"/>
    </row>
    <row r="93" spans="1:7" ht="18.75" customHeight="1" x14ac:dyDescent="0.2">
      <c r="A93" s="260" t="s">
        <v>170</v>
      </c>
      <c r="B93" s="261" t="s">
        <v>7</v>
      </c>
      <c r="C93" s="262">
        <v>1</v>
      </c>
      <c r="D93" s="263">
        <v>800</v>
      </c>
      <c r="E93" s="264">
        <f t="shared" si="2"/>
        <v>800</v>
      </c>
      <c r="G93" s="4"/>
    </row>
    <row r="94" spans="1:7" ht="18.75" customHeight="1" x14ac:dyDescent="0.2">
      <c r="A94" s="260" t="s">
        <v>194</v>
      </c>
      <c r="B94" s="261" t="s">
        <v>7</v>
      </c>
      <c r="C94" s="262">
        <v>1</v>
      </c>
      <c r="D94" s="263">
        <v>900</v>
      </c>
      <c r="E94" s="264">
        <f t="shared" si="2"/>
        <v>900</v>
      </c>
      <c r="G94" s="4"/>
    </row>
    <row r="95" spans="1:7" ht="18.75" customHeight="1" x14ac:dyDescent="0.2">
      <c r="A95" s="260" t="s">
        <v>195</v>
      </c>
      <c r="B95" s="261" t="s">
        <v>7</v>
      </c>
      <c r="C95" s="262">
        <v>1</v>
      </c>
      <c r="D95" s="263">
        <v>290</v>
      </c>
      <c r="E95" s="264">
        <f t="shared" si="2"/>
        <v>290</v>
      </c>
      <c r="G95" s="4"/>
    </row>
    <row r="96" spans="1:7" ht="18.75" customHeight="1" x14ac:dyDescent="0.2">
      <c r="A96" s="265" t="s">
        <v>171</v>
      </c>
      <c r="B96" s="261" t="s">
        <v>7</v>
      </c>
      <c r="C96" s="262">
        <v>1</v>
      </c>
      <c r="D96" s="263">
        <v>1400</v>
      </c>
      <c r="E96" s="264">
        <f t="shared" si="2"/>
        <v>1400</v>
      </c>
      <c r="G96" s="4"/>
    </row>
    <row r="97" spans="1:7" ht="18.75" customHeight="1" x14ac:dyDescent="0.2">
      <c r="A97" s="266" t="s">
        <v>172</v>
      </c>
      <c r="B97" s="267" t="s">
        <v>173</v>
      </c>
      <c r="C97" s="268">
        <v>2</v>
      </c>
      <c r="D97" s="269"/>
      <c r="E97" s="269"/>
      <c r="G97" s="4"/>
    </row>
    <row r="98" spans="1:7" ht="18.75" hidden="1" customHeight="1" x14ac:dyDescent="0.2">
      <c r="A98" s="266" t="s">
        <v>174</v>
      </c>
      <c r="B98" s="267"/>
      <c r="C98" s="268">
        <v>0</v>
      </c>
      <c r="D98" s="269"/>
      <c r="E98" s="269"/>
      <c r="G98" s="4"/>
    </row>
    <row r="99" spans="1:7" ht="18.75" customHeight="1" x14ac:dyDescent="0.2">
      <c r="A99" s="266" t="s">
        <v>175</v>
      </c>
      <c r="B99" s="267" t="s">
        <v>1</v>
      </c>
      <c r="C99" s="270">
        <v>90</v>
      </c>
      <c r="D99" s="269">
        <f>E91+E92+E96+E93+E94+E95</f>
        <v>7490</v>
      </c>
      <c r="E99" s="269">
        <f>C99*D99/100</f>
        <v>6741</v>
      </c>
      <c r="G99" s="4"/>
    </row>
    <row r="100" spans="1:7" ht="18.75" customHeight="1" x14ac:dyDescent="0.2">
      <c r="A100" s="271" t="s">
        <v>176</v>
      </c>
      <c r="B100" s="272" t="s">
        <v>6</v>
      </c>
      <c r="C100" s="272">
        <f>C97*12</f>
        <v>24</v>
      </c>
      <c r="D100" s="273">
        <f>IF(C98&lt;=C97,E99,0)</f>
        <v>6741</v>
      </c>
      <c r="E100" s="274">
        <f>IFERROR(D100/C100,0)</f>
        <v>280.875</v>
      </c>
      <c r="G100" s="4"/>
    </row>
    <row r="101" spans="1:7" ht="18.75" customHeight="1" x14ac:dyDescent="0.2">
      <c r="A101" s="266"/>
      <c r="B101" s="267"/>
      <c r="C101" s="267"/>
      <c r="D101" s="269"/>
      <c r="E101" s="269"/>
      <c r="G101" s="4"/>
    </row>
    <row r="102" spans="1:7" ht="30" customHeight="1" x14ac:dyDescent="0.2">
      <c r="A102" s="275" t="s">
        <v>193</v>
      </c>
      <c r="B102" s="261" t="s">
        <v>177</v>
      </c>
      <c r="C102" s="262">
        <v>1</v>
      </c>
      <c r="D102" s="263">
        <v>1686.35</v>
      </c>
      <c r="E102" s="269">
        <f>C102*D102</f>
        <v>1686.35</v>
      </c>
      <c r="G102" s="4"/>
    </row>
    <row r="103" spans="1:7" ht="18.75" customHeight="1" x14ac:dyDescent="0.2">
      <c r="A103" s="266" t="s">
        <v>172</v>
      </c>
      <c r="B103" s="267" t="s">
        <v>178</v>
      </c>
      <c r="C103" s="268">
        <v>12</v>
      </c>
      <c r="D103" s="269"/>
      <c r="E103" s="269"/>
      <c r="G103" s="4"/>
    </row>
    <row r="104" spans="1:7" ht="18.75" customHeight="1" x14ac:dyDescent="0.2">
      <c r="A104" s="271" t="s">
        <v>179</v>
      </c>
      <c r="B104" s="272" t="s">
        <v>6</v>
      </c>
      <c r="C104" s="272">
        <v>12</v>
      </c>
      <c r="D104" s="273"/>
      <c r="E104" s="274">
        <f>E102/C104</f>
        <v>140.52916666666667</v>
      </c>
      <c r="G104" s="4"/>
    </row>
    <row r="105" spans="1:7" ht="18.75" customHeight="1" x14ac:dyDescent="0.2">
      <c r="A105" s="280"/>
      <c r="B105" s="281"/>
      <c r="C105" s="281"/>
      <c r="D105" s="282"/>
      <c r="E105" s="283"/>
      <c r="G105" s="4"/>
    </row>
    <row r="106" spans="1:7" ht="24.75" customHeight="1" x14ac:dyDescent="0.2">
      <c r="A106" s="284" t="s">
        <v>201</v>
      </c>
      <c r="B106" s="285" t="s">
        <v>180</v>
      </c>
      <c r="C106" s="302">
        <f>21*1*0.6*2</f>
        <v>25.2</v>
      </c>
      <c r="D106" s="286">
        <v>6.58</v>
      </c>
      <c r="E106" s="287">
        <f>C106*D106</f>
        <v>165.816</v>
      </c>
      <c r="G106" s="4"/>
    </row>
    <row r="107" spans="1:7" ht="24" customHeight="1" x14ac:dyDescent="0.2">
      <c r="A107" s="275" t="s">
        <v>237</v>
      </c>
      <c r="B107" s="261" t="s">
        <v>128</v>
      </c>
      <c r="C107" s="279">
        <v>1</v>
      </c>
      <c r="D107" s="276">
        <v>400</v>
      </c>
      <c r="E107" s="277">
        <f>C107*D107</f>
        <v>400</v>
      </c>
      <c r="G107" s="4"/>
    </row>
    <row r="108" spans="1:7" ht="18.75" customHeight="1" thickBot="1" x14ac:dyDescent="0.25">
      <c r="A108" s="266"/>
      <c r="B108" s="267"/>
      <c r="C108" s="269"/>
      <c r="D108" s="269"/>
      <c r="E108" s="273"/>
      <c r="G108" s="4"/>
    </row>
    <row r="109" spans="1:7" ht="11.25" customHeight="1" thickBot="1" x14ac:dyDescent="0.25">
      <c r="A109" s="8"/>
      <c r="B109" s="8"/>
      <c r="C109" s="8"/>
      <c r="D109" s="162" t="s">
        <v>139</v>
      </c>
      <c r="E109" s="186">
        <v>1</v>
      </c>
      <c r="F109" s="237">
        <f>E100+E104+E106+E107</f>
        <v>987.22016666666673</v>
      </c>
      <c r="G109" s="4"/>
    </row>
    <row r="110" spans="1:7" ht="11.25" customHeight="1" x14ac:dyDescent="0.2">
      <c r="G110" s="4"/>
    </row>
    <row r="111" spans="1:7" ht="11.25" customHeight="1" x14ac:dyDescent="0.2">
      <c r="A111" s="290" t="s">
        <v>204</v>
      </c>
      <c r="B111" s="291"/>
      <c r="C111" s="291"/>
      <c r="D111" s="292"/>
      <c r="E111" s="293"/>
      <c r="F111" s="294"/>
      <c r="G111" s="4"/>
    </row>
    <row r="112" spans="1:7" ht="11.25" customHeight="1" thickBot="1" x14ac:dyDescent="0.25">
      <c r="A112" s="295" t="s">
        <v>205</v>
      </c>
      <c r="B112" s="296"/>
      <c r="C112" s="296"/>
      <c r="D112" s="297"/>
      <c r="E112" s="297"/>
      <c r="F112" s="297"/>
      <c r="G112" s="4"/>
    </row>
    <row r="113" spans="1:7" ht="11.25" customHeight="1" thickBot="1" x14ac:dyDescent="0.25">
      <c r="A113" s="305" t="s">
        <v>15</v>
      </c>
      <c r="B113" s="25" t="s">
        <v>16</v>
      </c>
      <c r="C113" s="306" t="s">
        <v>10</v>
      </c>
      <c r="D113" s="307" t="s">
        <v>93</v>
      </c>
      <c r="E113" s="307" t="s">
        <v>17</v>
      </c>
      <c r="F113" s="308" t="s">
        <v>206</v>
      </c>
      <c r="G113" s="4"/>
    </row>
    <row r="114" spans="1:7" ht="11.25" customHeight="1" x14ac:dyDescent="0.2">
      <c r="A114" s="303" t="s">
        <v>207</v>
      </c>
      <c r="B114" s="261" t="s">
        <v>16</v>
      </c>
      <c r="C114" s="312">
        <v>6</v>
      </c>
      <c r="D114" s="184">
        <v>11</v>
      </c>
      <c r="E114" s="161">
        <f>C114*D114</f>
        <v>66</v>
      </c>
      <c r="F114" s="304"/>
      <c r="G114" s="4"/>
    </row>
    <row r="115" spans="1:7" ht="11.25" customHeight="1" x14ac:dyDescent="0.2">
      <c r="A115" s="284" t="s">
        <v>208</v>
      </c>
      <c r="B115" s="261" t="s">
        <v>16</v>
      </c>
      <c r="C115" s="312">
        <v>6</v>
      </c>
      <c r="D115" s="184">
        <v>9.86</v>
      </c>
      <c r="E115" s="161">
        <f t="shared" ref="E115:E136" si="3">C115*D115</f>
        <v>59.16</v>
      </c>
      <c r="F115" s="298"/>
      <c r="G115" s="4"/>
    </row>
    <row r="116" spans="1:7" ht="11.25" customHeight="1" x14ac:dyDescent="0.2">
      <c r="A116" s="284" t="s">
        <v>209</v>
      </c>
      <c r="B116" s="261" t="s">
        <v>16</v>
      </c>
      <c r="C116" s="312">
        <v>5</v>
      </c>
      <c r="D116" s="184">
        <v>65.8</v>
      </c>
      <c r="E116" s="161">
        <f t="shared" si="3"/>
        <v>329</v>
      </c>
      <c r="F116" s="298"/>
      <c r="G116" s="4"/>
    </row>
    <row r="117" spans="1:7" ht="11.25" customHeight="1" x14ac:dyDescent="0.2">
      <c r="A117" s="284" t="s">
        <v>210</v>
      </c>
      <c r="B117" s="261" t="s">
        <v>211</v>
      </c>
      <c r="C117" s="312">
        <v>60</v>
      </c>
      <c r="D117" s="184">
        <v>10.9</v>
      </c>
      <c r="E117" s="161">
        <f t="shared" si="3"/>
        <v>654</v>
      </c>
      <c r="F117" s="298"/>
      <c r="G117" s="4"/>
    </row>
    <row r="118" spans="1:7" ht="11.25" customHeight="1" x14ac:dyDescent="0.2">
      <c r="A118" s="284" t="s">
        <v>212</v>
      </c>
      <c r="B118" s="261" t="s">
        <v>16</v>
      </c>
      <c r="C118" s="312">
        <v>12</v>
      </c>
      <c r="D118" s="184">
        <v>7.67</v>
      </c>
      <c r="E118" s="161">
        <f t="shared" si="3"/>
        <v>92.039999999999992</v>
      </c>
      <c r="F118" s="298"/>
      <c r="G118" s="4"/>
    </row>
    <row r="119" spans="1:7" ht="11.25" customHeight="1" x14ac:dyDescent="0.2">
      <c r="A119" s="284" t="s">
        <v>238</v>
      </c>
      <c r="B119" s="261" t="s">
        <v>16</v>
      </c>
      <c r="C119" s="312">
        <v>7</v>
      </c>
      <c r="D119" s="184">
        <v>14.14</v>
      </c>
      <c r="E119" s="161">
        <f t="shared" si="3"/>
        <v>98.98</v>
      </c>
      <c r="F119" s="298"/>
      <c r="G119" s="4"/>
    </row>
    <row r="120" spans="1:7" ht="11.25" customHeight="1" x14ac:dyDescent="0.2">
      <c r="A120" s="284" t="s">
        <v>213</v>
      </c>
      <c r="B120" s="261" t="s">
        <v>16</v>
      </c>
      <c r="C120" s="312">
        <v>3</v>
      </c>
      <c r="D120" s="184">
        <v>15.73</v>
      </c>
      <c r="E120" s="161">
        <f t="shared" si="3"/>
        <v>47.19</v>
      </c>
      <c r="F120" s="298"/>
      <c r="G120" s="4"/>
    </row>
    <row r="121" spans="1:7" ht="11.25" customHeight="1" x14ac:dyDescent="0.2">
      <c r="A121" s="284" t="s">
        <v>214</v>
      </c>
      <c r="B121" s="261" t="s">
        <v>16</v>
      </c>
      <c r="C121" s="312">
        <v>2</v>
      </c>
      <c r="D121" s="184">
        <v>10.02</v>
      </c>
      <c r="E121" s="161">
        <f t="shared" si="3"/>
        <v>20.04</v>
      </c>
      <c r="F121" s="298"/>
      <c r="G121" s="4"/>
    </row>
    <row r="122" spans="1:7" ht="11.25" customHeight="1" x14ac:dyDescent="0.2">
      <c r="A122" s="284" t="s">
        <v>239</v>
      </c>
      <c r="B122" s="261" t="s">
        <v>16</v>
      </c>
      <c r="C122" s="312">
        <v>4</v>
      </c>
      <c r="D122" s="184">
        <v>0.95</v>
      </c>
      <c r="E122" s="161">
        <f t="shared" si="3"/>
        <v>3.8</v>
      </c>
      <c r="F122" s="298"/>
      <c r="G122" s="4"/>
    </row>
    <row r="123" spans="1:7" ht="11.25" customHeight="1" x14ac:dyDescent="0.2">
      <c r="A123" s="284" t="s">
        <v>241</v>
      </c>
      <c r="B123" s="261" t="s">
        <v>16</v>
      </c>
      <c r="C123" s="312">
        <v>5</v>
      </c>
      <c r="D123" s="184">
        <v>2.02</v>
      </c>
      <c r="E123" s="161">
        <f t="shared" si="3"/>
        <v>10.1</v>
      </c>
      <c r="F123" s="298"/>
      <c r="G123" s="4"/>
    </row>
    <row r="124" spans="1:7" ht="11.25" customHeight="1" x14ac:dyDescent="0.2">
      <c r="A124" s="284" t="s">
        <v>215</v>
      </c>
      <c r="B124" s="261" t="s">
        <v>16</v>
      </c>
      <c r="C124" s="312">
        <v>6</v>
      </c>
      <c r="D124" s="184">
        <v>18.38</v>
      </c>
      <c r="E124" s="161">
        <f t="shared" si="3"/>
        <v>110.28</v>
      </c>
      <c r="F124" s="298"/>
      <c r="G124" s="4"/>
    </row>
    <row r="125" spans="1:7" ht="11.25" customHeight="1" x14ac:dyDescent="0.2">
      <c r="A125" s="284" t="s">
        <v>216</v>
      </c>
      <c r="B125" s="261" t="s">
        <v>16</v>
      </c>
      <c r="C125" s="312">
        <v>5</v>
      </c>
      <c r="D125" s="184">
        <v>5.0199999999999996</v>
      </c>
      <c r="E125" s="161">
        <f t="shared" si="3"/>
        <v>25.099999999999998</v>
      </c>
      <c r="F125" s="298"/>
      <c r="G125" s="4"/>
    </row>
    <row r="126" spans="1:7" ht="11.25" customHeight="1" x14ac:dyDescent="0.2">
      <c r="A126" s="284" t="s">
        <v>217</v>
      </c>
      <c r="B126" s="261" t="s">
        <v>16</v>
      </c>
      <c r="C126" s="312">
        <v>10</v>
      </c>
      <c r="D126" s="184">
        <v>4.1100000000000003</v>
      </c>
      <c r="E126" s="161">
        <f t="shared" si="3"/>
        <v>41.1</v>
      </c>
      <c r="F126" s="298"/>
      <c r="G126" s="4"/>
    </row>
    <row r="127" spans="1:7" ht="11.25" customHeight="1" x14ac:dyDescent="0.2">
      <c r="A127" s="284" t="s">
        <v>218</v>
      </c>
      <c r="B127" s="261" t="s">
        <v>219</v>
      </c>
      <c r="C127" s="312">
        <v>120</v>
      </c>
      <c r="D127" s="184">
        <v>2.73</v>
      </c>
      <c r="E127" s="161">
        <f t="shared" si="3"/>
        <v>327.60000000000002</v>
      </c>
      <c r="F127" s="298"/>
      <c r="G127" s="4"/>
    </row>
    <row r="128" spans="1:7" ht="11.25" customHeight="1" x14ac:dyDescent="0.2">
      <c r="A128" s="284" t="s">
        <v>220</v>
      </c>
      <c r="B128" s="261" t="s">
        <v>221</v>
      </c>
      <c r="C128" s="312">
        <v>6</v>
      </c>
      <c r="D128" s="184">
        <v>72.33</v>
      </c>
      <c r="E128" s="161">
        <f t="shared" si="3"/>
        <v>433.98</v>
      </c>
      <c r="F128" s="298"/>
      <c r="G128" s="4"/>
    </row>
    <row r="129" spans="1:7" ht="11.25" customHeight="1" x14ac:dyDescent="0.2">
      <c r="A129" s="284" t="s">
        <v>222</v>
      </c>
      <c r="B129" s="261" t="s">
        <v>16</v>
      </c>
      <c r="C129" s="312">
        <v>8</v>
      </c>
      <c r="D129" s="184">
        <v>4.83</v>
      </c>
      <c r="E129" s="161">
        <f t="shared" si="3"/>
        <v>38.64</v>
      </c>
      <c r="F129" s="298"/>
      <c r="G129" s="4"/>
    </row>
    <row r="130" spans="1:7" ht="11.25" customHeight="1" x14ac:dyDescent="0.2">
      <c r="A130" s="284" t="s">
        <v>223</v>
      </c>
      <c r="B130" s="261" t="s">
        <v>16</v>
      </c>
      <c r="C130" s="312">
        <v>5</v>
      </c>
      <c r="D130" s="184">
        <v>21.55</v>
      </c>
      <c r="E130" s="161">
        <f t="shared" si="3"/>
        <v>107.75</v>
      </c>
      <c r="F130" s="298"/>
      <c r="G130" s="4"/>
    </row>
    <row r="131" spans="1:7" ht="11.25" customHeight="1" x14ac:dyDescent="0.2">
      <c r="A131" s="284" t="s">
        <v>224</v>
      </c>
      <c r="B131" s="261" t="s">
        <v>211</v>
      </c>
      <c r="C131" s="312">
        <v>4</v>
      </c>
      <c r="D131" s="184">
        <v>10.210000000000001</v>
      </c>
      <c r="E131" s="161">
        <f t="shared" si="3"/>
        <v>40.840000000000003</v>
      </c>
      <c r="F131" s="298"/>
      <c r="G131" s="4"/>
    </row>
    <row r="132" spans="1:7" ht="11.25" customHeight="1" x14ac:dyDescent="0.2">
      <c r="A132" s="284" t="s">
        <v>225</v>
      </c>
      <c r="B132" s="261" t="s">
        <v>16</v>
      </c>
      <c r="C132" s="312">
        <v>4</v>
      </c>
      <c r="D132" s="184">
        <v>6.17</v>
      </c>
      <c r="E132" s="161">
        <f t="shared" si="3"/>
        <v>24.68</v>
      </c>
      <c r="F132" s="298"/>
      <c r="G132" s="4"/>
    </row>
    <row r="133" spans="1:7" ht="11.25" customHeight="1" x14ac:dyDescent="0.2">
      <c r="A133" s="284" t="s">
        <v>242</v>
      </c>
      <c r="B133" s="261" t="s">
        <v>211</v>
      </c>
      <c r="C133" s="312">
        <v>26</v>
      </c>
      <c r="D133" s="184">
        <v>3.47</v>
      </c>
      <c r="E133" s="161">
        <f t="shared" si="3"/>
        <v>90.22</v>
      </c>
      <c r="F133" s="298"/>
      <c r="G133" s="4"/>
    </row>
    <row r="134" spans="1:7" ht="11.25" customHeight="1" x14ac:dyDescent="0.2">
      <c r="A134" s="284" t="s">
        <v>243</v>
      </c>
      <c r="B134" s="261" t="s">
        <v>211</v>
      </c>
      <c r="C134" s="312">
        <v>30</v>
      </c>
      <c r="D134" s="184">
        <v>3.49</v>
      </c>
      <c r="E134" s="161">
        <f t="shared" si="3"/>
        <v>104.7</v>
      </c>
      <c r="F134" s="298"/>
      <c r="G134" s="4"/>
    </row>
    <row r="135" spans="1:7" ht="11.25" customHeight="1" x14ac:dyDescent="0.2">
      <c r="A135" s="284" t="s">
        <v>226</v>
      </c>
      <c r="B135" s="261" t="s">
        <v>16</v>
      </c>
      <c r="C135" s="312">
        <v>12</v>
      </c>
      <c r="D135" s="184">
        <v>2.6</v>
      </c>
      <c r="E135" s="161">
        <f t="shared" si="3"/>
        <v>31.200000000000003</v>
      </c>
      <c r="F135" s="298"/>
      <c r="G135" s="4"/>
    </row>
    <row r="136" spans="1:7" ht="11.25" customHeight="1" thickBot="1" x14ac:dyDescent="0.25">
      <c r="A136" s="284" t="s">
        <v>227</v>
      </c>
      <c r="B136" s="261" t="s">
        <v>16</v>
      </c>
      <c r="C136" s="312">
        <v>4</v>
      </c>
      <c r="D136" s="184">
        <v>8.43</v>
      </c>
      <c r="E136" s="161">
        <f t="shared" si="3"/>
        <v>33.72</v>
      </c>
      <c r="F136" s="298"/>
      <c r="G136" s="4"/>
    </row>
    <row r="137" spans="1:7" ht="11.25" customHeight="1" thickBot="1" x14ac:dyDescent="0.25">
      <c r="A137" s="339" t="s">
        <v>228</v>
      </c>
      <c r="B137" s="340"/>
      <c r="C137" s="340"/>
      <c r="D137" s="341"/>
      <c r="E137" s="311">
        <f>SUM(E114:E136)</f>
        <v>2790.1199999999985</v>
      </c>
      <c r="F137" s="237">
        <f>E137</f>
        <v>2790.1199999999985</v>
      </c>
      <c r="G137" s="4"/>
    </row>
    <row r="138" spans="1:7" ht="11.25" customHeight="1" x14ac:dyDescent="0.2">
      <c r="A138" s="299"/>
      <c r="B138" s="299"/>
      <c r="C138" s="299"/>
      <c r="D138" s="299"/>
      <c r="E138" s="293"/>
      <c r="F138" s="294"/>
      <c r="G138" s="4"/>
    </row>
    <row r="139" spans="1:7" ht="11.25" customHeight="1" thickBot="1" x14ac:dyDescent="0.25">
      <c r="A139" s="295" t="s">
        <v>229</v>
      </c>
      <c r="B139" s="296"/>
      <c r="C139" s="296"/>
      <c r="D139" s="297"/>
      <c r="E139" s="297"/>
      <c r="F139" s="297"/>
      <c r="G139" s="4"/>
    </row>
    <row r="140" spans="1:7" ht="11.25" customHeight="1" thickBot="1" x14ac:dyDescent="0.25">
      <c r="A140" s="305" t="s">
        <v>15</v>
      </c>
      <c r="B140" s="306" t="s">
        <v>16</v>
      </c>
      <c r="C140" s="306" t="s">
        <v>10</v>
      </c>
      <c r="D140" s="307" t="s">
        <v>93</v>
      </c>
      <c r="E140" s="307" t="s">
        <v>17</v>
      </c>
      <c r="F140" s="308" t="s">
        <v>206</v>
      </c>
      <c r="G140" s="4"/>
    </row>
    <row r="141" spans="1:7" ht="11.25" customHeight="1" x14ac:dyDescent="0.2">
      <c r="A141" s="284" t="s">
        <v>240</v>
      </c>
      <c r="B141" s="261" t="s">
        <v>16</v>
      </c>
      <c r="C141" s="313">
        <v>5</v>
      </c>
      <c r="D141" s="184">
        <v>12.31</v>
      </c>
      <c r="E141" s="161">
        <f>C141*D141</f>
        <v>61.550000000000004</v>
      </c>
      <c r="F141" s="309"/>
      <c r="G141" s="4"/>
    </row>
    <row r="142" spans="1:7" ht="11.25" customHeight="1" x14ac:dyDescent="0.2">
      <c r="A142" s="284" t="s">
        <v>230</v>
      </c>
      <c r="B142" s="261" t="s">
        <v>16</v>
      </c>
      <c r="C142" s="313">
        <v>2</v>
      </c>
      <c r="D142" s="184">
        <v>8</v>
      </c>
      <c r="E142" s="161">
        <f t="shared" ref="E142:E147" si="4">C142*D142</f>
        <v>16</v>
      </c>
      <c r="F142" s="300"/>
      <c r="G142" s="4"/>
    </row>
    <row r="143" spans="1:7" ht="11.25" customHeight="1" x14ac:dyDescent="0.2">
      <c r="A143" s="284" t="s">
        <v>231</v>
      </c>
      <c r="B143" s="261" t="s">
        <v>16</v>
      </c>
      <c r="C143" s="313">
        <v>3</v>
      </c>
      <c r="D143" s="184">
        <v>24.33</v>
      </c>
      <c r="E143" s="161">
        <f t="shared" si="4"/>
        <v>72.989999999999995</v>
      </c>
      <c r="F143" s="298"/>
      <c r="G143" s="4"/>
    </row>
    <row r="144" spans="1:7" ht="11.25" customHeight="1" x14ac:dyDescent="0.2">
      <c r="A144" s="284" t="s">
        <v>232</v>
      </c>
      <c r="B144" s="261" t="s">
        <v>16</v>
      </c>
      <c r="C144" s="314">
        <v>3</v>
      </c>
      <c r="D144" s="184">
        <v>5.43</v>
      </c>
      <c r="E144" s="161">
        <f t="shared" si="4"/>
        <v>16.29</v>
      </c>
      <c r="F144" s="298"/>
      <c r="G144" s="4"/>
    </row>
    <row r="145" spans="1:7" ht="11.25" customHeight="1" x14ac:dyDescent="0.2">
      <c r="A145" s="284" t="s">
        <v>233</v>
      </c>
      <c r="B145" s="261" t="s">
        <v>16</v>
      </c>
      <c r="C145" s="314">
        <v>5</v>
      </c>
      <c r="D145" s="184">
        <v>21.33</v>
      </c>
      <c r="E145" s="161">
        <f t="shared" si="4"/>
        <v>106.64999999999999</v>
      </c>
      <c r="F145" s="298"/>
      <c r="G145" s="4"/>
    </row>
    <row r="146" spans="1:7" ht="11.25" customHeight="1" x14ac:dyDescent="0.2">
      <c r="A146" s="284" t="s">
        <v>234</v>
      </c>
      <c r="B146" s="261" t="s">
        <v>16</v>
      </c>
      <c r="C146" s="314">
        <v>6</v>
      </c>
      <c r="D146" s="184">
        <v>20</v>
      </c>
      <c r="E146" s="161">
        <f t="shared" si="4"/>
        <v>120</v>
      </c>
      <c r="F146" s="298"/>
      <c r="G146" s="4"/>
    </row>
    <row r="147" spans="1:7" ht="11.25" customHeight="1" thickBot="1" x14ac:dyDescent="0.25">
      <c r="A147" s="284" t="s">
        <v>244</v>
      </c>
      <c r="B147" s="261" t="s">
        <v>16</v>
      </c>
      <c r="C147" s="314">
        <v>13</v>
      </c>
      <c r="D147" s="184">
        <v>27.8</v>
      </c>
      <c r="E147" s="161">
        <f t="shared" si="4"/>
        <v>361.40000000000003</v>
      </c>
      <c r="F147" s="298"/>
      <c r="G147" s="4"/>
    </row>
    <row r="148" spans="1:7" ht="11.25" customHeight="1" thickBot="1" x14ac:dyDescent="0.25">
      <c r="A148" s="342"/>
      <c r="B148" s="343"/>
      <c r="C148" s="343"/>
      <c r="D148" s="344"/>
      <c r="E148" s="311">
        <f>E141+E142+E143+E144+E145+E146+E147</f>
        <v>754.88000000000011</v>
      </c>
      <c r="F148" s="182">
        <f>E148/3</f>
        <v>251.62666666666669</v>
      </c>
      <c r="G148" s="4"/>
    </row>
    <row r="149" spans="1:7" ht="11.25" customHeight="1" thickBot="1" x14ac:dyDescent="0.25">
      <c r="A149" s="345" t="s">
        <v>235</v>
      </c>
      <c r="B149" s="346"/>
      <c r="C149" s="346"/>
      <c r="D149" s="346"/>
      <c r="E149" s="347"/>
      <c r="F149" s="237">
        <f>F148+F137</f>
        <v>3041.7466666666651</v>
      </c>
      <c r="G149" s="4"/>
    </row>
    <row r="150" spans="1:7" ht="11.25" customHeight="1" thickBot="1" x14ac:dyDescent="0.25">
      <c r="G150" s="4"/>
    </row>
    <row r="151" spans="1:7" ht="11.25" customHeight="1" thickBot="1" x14ac:dyDescent="0.25">
      <c r="A151" s="10" t="s">
        <v>140</v>
      </c>
      <c r="B151" s="189"/>
      <c r="C151" s="189"/>
      <c r="D151" s="190"/>
      <c r="E151" s="191"/>
      <c r="F151" s="164">
        <f>F66+F87+F109+F149</f>
        <v>14909.975451333332</v>
      </c>
      <c r="G151" s="4"/>
    </row>
    <row r="152" spans="1:7" ht="11.25" customHeight="1" x14ac:dyDescent="0.2">
      <c r="G152" s="4"/>
    </row>
    <row r="153" spans="1:7" ht="13.5" thickBot="1" x14ac:dyDescent="0.25">
      <c r="A153" s="7" t="s">
        <v>236</v>
      </c>
      <c r="B153" s="7"/>
      <c r="C153" s="7"/>
      <c r="D153" s="13"/>
      <c r="E153" s="13"/>
      <c r="F153" s="12"/>
    </row>
    <row r="154" spans="1:7" x14ac:dyDescent="0.2">
      <c r="A154" s="31" t="s">
        <v>15</v>
      </c>
      <c r="B154" s="32" t="s">
        <v>16</v>
      </c>
      <c r="C154" s="32" t="s">
        <v>10</v>
      </c>
      <c r="D154" s="33" t="s">
        <v>93</v>
      </c>
      <c r="E154" s="33" t="s">
        <v>17</v>
      </c>
      <c r="F154" s="135" t="s">
        <v>18</v>
      </c>
    </row>
    <row r="155" spans="1:7" x14ac:dyDescent="0.2">
      <c r="A155" s="133" t="s">
        <v>8</v>
      </c>
      <c r="B155" s="143" t="s">
        <v>1</v>
      </c>
      <c r="C155" s="238">
        <f>'4.BDI'!C18</f>
        <v>0.22839999999999999</v>
      </c>
      <c r="D155" s="134">
        <f>F151</f>
        <v>14909.975451333332</v>
      </c>
      <c r="E155" s="134">
        <f>D155*C155</f>
        <v>3405.4383930845329</v>
      </c>
      <c r="F155" s="239"/>
    </row>
    <row r="156" spans="1:7" ht="13.5" thickBot="1" x14ac:dyDescent="0.25">
      <c r="A156" s="240"/>
      <c r="B156" s="240"/>
      <c r="C156" s="240"/>
      <c r="D156" s="240"/>
      <c r="E156" s="240"/>
      <c r="F156" s="241"/>
    </row>
    <row r="157" spans="1:7" ht="13.5" thickBot="1" x14ac:dyDescent="0.25">
      <c r="A157" s="335" t="s">
        <v>127</v>
      </c>
      <c r="B157" s="336"/>
      <c r="C157" s="336"/>
      <c r="D157" s="336"/>
      <c r="E157" s="337"/>
      <c r="F157" s="236">
        <f>E155</f>
        <v>3405.4383930845329</v>
      </c>
    </row>
    <row r="158" spans="1:7" ht="11.25" customHeight="1" thickBot="1" x14ac:dyDescent="0.25"/>
    <row r="159" spans="1:7" ht="24.75" customHeight="1" thickBot="1" x14ac:dyDescent="0.25">
      <c r="A159" s="10" t="s">
        <v>100</v>
      </c>
      <c r="B159" s="189"/>
      <c r="C159" s="189"/>
      <c r="D159" s="190"/>
      <c r="E159" s="191"/>
      <c r="F159" s="167">
        <f>F151+F157</f>
        <v>18315.413844417864</v>
      </c>
    </row>
    <row r="160" spans="1:7" ht="13.5" customHeight="1" x14ac:dyDescent="0.2">
      <c r="A160" s="7"/>
      <c r="D160" s="188"/>
      <c r="E160" s="188"/>
    </row>
    <row r="161" spans="1:7" ht="13.5" hidden="1" customHeight="1" thickBot="1" x14ac:dyDescent="0.25">
      <c r="A161" s="10" t="s">
        <v>154</v>
      </c>
      <c r="B161" s="189"/>
      <c r="C161" s="189"/>
      <c r="D161" s="190"/>
      <c r="E161" s="191"/>
      <c r="F161" s="167">
        <f>F159/C84</f>
        <v>18315.413844417864</v>
      </c>
    </row>
    <row r="162" spans="1:7" ht="12.6" hidden="1" customHeight="1" x14ac:dyDescent="0.2">
      <c r="A162" s="242"/>
      <c r="B162" s="242"/>
      <c r="C162" s="242"/>
      <c r="D162" s="23"/>
      <c r="E162" s="23"/>
      <c r="F162" s="23"/>
      <c r="G162" s="229"/>
    </row>
    <row r="163" spans="1:7" ht="12.6" hidden="1" customHeight="1" thickBot="1" x14ac:dyDescent="0.25">
      <c r="A163" s="212" t="s">
        <v>132</v>
      </c>
      <c r="B163" s="194">
        <v>167.14</v>
      </c>
      <c r="C163" s="215" t="s">
        <v>133</v>
      </c>
      <c r="D163" s="213"/>
      <c r="E163" s="214"/>
      <c r="F163" s="206">
        <f>F161/B163</f>
        <v>109.5812722533078</v>
      </c>
      <c r="G163" s="229"/>
    </row>
    <row r="164" spans="1:7" ht="12.6" hidden="1" customHeight="1" x14ac:dyDescent="0.2">
      <c r="A164" s="242"/>
      <c r="B164" s="242"/>
      <c r="C164" s="242"/>
      <c r="D164" s="23"/>
      <c r="E164" s="23"/>
      <c r="F164" s="23"/>
      <c r="G164" s="229"/>
    </row>
    <row r="165" spans="1:7" x14ac:dyDescent="0.2">
      <c r="A165" s="7" t="s">
        <v>141</v>
      </c>
      <c r="F165" s="243"/>
    </row>
    <row r="166" spans="1:7" x14ac:dyDescent="0.2">
      <c r="F166" s="244"/>
    </row>
    <row r="167" spans="1:7" x14ac:dyDescent="0.2">
      <c r="F167" s="243"/>
    </row>
    <row r="168" spans="1:7" x14ac:dyDescent="0.2">
      <c r="F168" s="245"/>
    </row>
    <row r="192" spans="4:7" ht="9" customHeight="1" x14ac:dyDescent="0.2">
      <c r="D192" s="4"/>
      <c r="E192" s="4"/>
      <c r="F192" s="4"/>
      <c r="G192" s="4"/>
    </row>
  </sheetData>
  <mergeCells count="13">
    <mergeCell ref="A35:D35"/>
    <mergeCell ref="A45:C45"/>
    <mergeCell ref="A84:B84"/>
    <mergeCell ref="A157:E157"/>
    <mergeCell ref="A26:F26"/>
    <mergeCell ref="A137:D137"/>
    <mergeCell ref="A148:D148"/>
    <mergeCell ref="A149:E149"/>
    <mergeCell ref="A1:F1"/>
    <mergeCell ref="A2:F3"/>
    <mergeCell ref="A4:F4"/>
    <mergeCell ref="A6:F6"/>
    <mergeCell ref="A14:C14"/>
  </mergeCells>
  <printOptions horizontalCentered="1"/>
  <pageMargins left="0.9055118110236221" right="0.70866141732283472" top="0.74803149606299213" bottom="0.55118110236220474" header="0.31496062992125984" footer="0.31496062992125984"/>
  <pageSetup paperSize="9" scale="65" fitToHeight="2" orientation="portrait" r:id="rId1"/>
  <headerFooter alignWithMargins="0">
    <oddFooter>&amp;R&amp;P de &amp;N</oddFooter>
  </headerFooter>
  <rowBreaks count="1" manualBreakCount="1">
    <brk id="23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zoomScale="120" zoomScaleNormal="120" zoomScaleSheetLayoutView="100" workbookViewId="0">
      <pane ySplit="1" topLeftCell="A2" activePane="bottomLeft" state="frozen"/>
      <selection activeCell="A9" sqref="A9"/>
      <selection pane="bottomLeft" activeCell="A113" sqref="A113"/>
    </sheetView>
  </sheetViews>
  <sheetFormatPr defaultColWidth="9.140625" defaultRowHeight="12.75" x14ac:dyDescent="0.2"/>
  <cols>
    <col min="1" max="1" width="49.42578125" style="4" customWidth="1"/>
    <col min="2" max="2" width="16" style="4" bestFit="1" customWidth="1"/>
    <col min="3" max="3" width="14.5703125" style="4" customWidth="1"/>
    <col min="4" max="4" width="14.7109375" style="122" customWidth="1"/>
    <col min="5" max="5" width="15.42578125" style="122" customWidth="1"/>
    <col min="6" max="6" width="15" style="122" customWidth="1"/>
    <col min="7" max="7" width="28.140625" style="122" customWidth="1"/>
    <col min="8" max="8" width="23.85546875" style="4" hidden="1" customWidth="1"/>
    <col min="9" max="9" width="14.5703125" style="4" customWidth="1"/>
    <col min="10" max="10" width="13.42578125" style="4" customWidth="1"/>
    <col min="11" max="11" width="10.5703125" style="4" bestFit="1" customWidth="1"/>
    <col min="12" max="16384" width="9.140625" style="4"/>
  </cols>
  <sheetData>
    <row r="1" spans="1:7" s="2" customFormat="1" ht="21.75" customHeight="1" thickBot="1" x14ac:dyDescent="0.25">
      <c r="A1" s="315" t="s">
        <v>96</v>
      </c>
      <c r="B1" s="315"/>
      <c r="C1" s="315"/>
      <c r="D1" s="315"/>
      <c r="E1" s="315"/>
      <c r="F1" s="315"/>
      <c r="G1" s="3"/>
    </row>
    <row r="2" spans="1:7" s="5" customFormat="1" ht="15" customHeight="1" x14ac:dyDescent="0.2">
      <c r="A2" s="316" t="s">
        <v>163</v>
      </c>
      <c r="B2" s="317"/>
      <c r="C2" s="317"/>
      <c r="D2" s="317"/>
      <c r="E2" s="317"/>
      <c r="F2" s="318"/>
      <c r="G2" s="14"/>
    </row>
    <row r="3" spans="1:7" s="5" customFormat="1" ht="11.45" customHeight="1" x14ac:dyDescent="0.2">
      <c r="A3" s="319"/>
      <c r="B3" s="320"/>
      <c r="C3" s="320"/>
      <c r="D3" s="320"/>
      <c r="E3" s="320"/>
      <c r="F3" s="321"/>
      <c r="G3" s="14"/>
    </row>
    <row r="4" spans="1:7" s="5" customFormat="1" ht="21.75" customHeight="1" x14ac:dyDescent="0.2">
      <c r="A4" s="322" t="s">
        <v>129</v>
      </c>
      <c r="B4" s="323"/>
      <c r="C4" s="323"/>
      <c r="D4" s="323"/>
      <c r="E4" s="323"/>
      <c r="F4" s="324"/>
      <c r="G4" s="14"/>
    </row>
    <row r="5" spans="1:7" s="2" customFormat="1" ht="10.9" customHeight="1" thickBot="1" x14ac:dyDescent="0.25">
      <c r="A5" s="216"/>
      <c r="B5" s="217"/>
      <c r="C5" s="217"/>
      <c r="D5" s="47"/>
      <c r="E5" s="47"/>
      <c r="F5" s="48"/>
      <c r="G5" s="3"/>
    </row>
    <row r="6" spans="1:7" s="2" customFormat="1" ht="15.75" customHeight="1" thickBot="1" x14ac:dyDescent="0.25">
      <c r="A6" s="325" t="s">
        <v>86</v>
      </c>
      <c r="B6" s="326"/>
      <c r="C6" s="326"/>
      <c r="D6" s="326"/>
      <c r="E6" s="326"/>
      <c r="F6" s="327"/>
      <c r="G6" s="3"/>
    </row>
    <row r="7" spans="1:7" s="2" customFormat="1" ht="15.75" customHeight="1" x14ac:dyDescent="0.2">
      <c r="A7" s="28" t="s">
        <v>85</v>
      </c>
      <c r="B7" s="15"/>
      <c r="C7" s="15"/>
      <c r="D7" s="113"/>
      <c r="E7" s="34" t="s">
        <v>9</v>
      </c>
      <c r="F7" s="16" t="s">
        <v>1</v>
      </c>
      <c r="G7" s="3"/>
    </row>
    <row r="8" spans="1:7" s="7" customFormat="1" ht="15.75" customHeight="1" x14ac:dyDescent="0.2">
      <c r="A8" s="37" t="str">
        <f>A22</f>
        <v>1. Mão-de-obra</v>
      </c>
      <c r="B8" s="38"/>
      <c r="C8" s="39"/>
      <c r="D8" s="39"/>
      <c r="E8" s="168">
        <f>+F63</f>
        <v>9773.3264580909108</v>
      </c>
      <c r="F8" s="136">
        <f t="shared" ref="F8:F17" si="0">IFERROR(E8/$E$18,0)</f>
        <v>0.79463482901783578</v>
      </c>
      <c r="G8" s="19"/>
    </row>
    <row r="9" spans="1:7" s="2" customFormat="1" ht="15.75" customHeight="1" x14ac:dyDescent="0.2">
      <c r="A9" s="22" t="str">
        <f>A23</f>
        <v xml:space="preserve">1.1. Categoria Profissional Prestador de Serviços de Auxiliar de Auxiliar de Serviços Gerais - CBO 5143 </v>
      </c>
      <c r="B9" s="20"/>
      <c r="C9" s="21"/>
      <c r="D9" s="21"/>
      <c r="E9" s="169">
        <f>F32</f>
        <v>8817.4446580909098</v>
      </c>
      <c r="F9" s="137">
        <f t="shared" si="0"/>
        <v>0.71691543900652177</v>
      </c>
      <c r="G9" s="3"/>
    </row>
    <row r="10" spans="1:7" s="2" customFormat="1" ht="15.75" hidden="1" customHeight="1" x14ac:dyDescent="0.2">
      <c r="A10" s="22" t="str">
        <f>A34</f>
        <v>1.2. Supervisor/Encarregado</v>
      </c>
      <c r="B10" s="20"/>
      <c r="C10" s="21"/>
      <c r="D10" s="21"/>
      <c r="E10" s="169">
        <f>F42</f>
        <v>0</v>
      </c>
      <c r="F10" s="137">
        <f t="shared" si="0"/>
        <v>0</v>
      </c>
      <c r="G10" s="3"/>
    </row>
    <row r="11" spans="1:7" s="2" customFormat="1" ht="15.75" customHeight="1" x14ac:dyDescent="0.2">
      <c r="A11" s="22" t="str">
        <f>A44</f>
        <v>1.2. Vale Transporte</v>
      </c>
      <c r="B11" s="20"/>
      <c r="C11" s="21"/>
      <c r="D11" s="21"/>
      <c r="E11" s="169">
        <f>F49</f>
        <v>85.096800000000002</v>
      </c>
      <c r="F11" s="137">
        <f t="shared" si="0"/>
        <v>6.9189217619948212E-3</v>
      </c>
      <c r="G11" s="3"/>
    </row>
    <row r="12" spans="1:7" s="2" customFormat="1" ht="15.75" customHeight="1" x14ac:dyDescent="0.2">
      <c r="A12" s="22" t="str">
        <f>A51</f>
        <v xml:space="preserve">1.3. Auxílio Alimentação </v>
      </c>
      <c r="B12" s="20"/>
      <c r="C12" s="21"/>
      <c r="D12" s="21"/>
      <c r="E12" s="169">
        <f>F55</f>
        <v>659.74500000000012</v>
      </c>
      <c r="F12" s="137">
        <f t="shared" si="0"/>
        <v>5.3641547483187071E-2</v>
      </c>
      <c r="G12" s="3"/>
    </row>
    <row r="13" spans="1:7" s="2" customFormat="1" ht="15.75" customHeight="1" x14ac:dyDescent="0.2">
      <c r="A13" s="22" t="str">
        <f>A57</f>
        <v>1.4. Plano de Benefício Social  e Prêmio Assiduidade</v>
      </c>
      <c r="B13" s="20"/>
      <c r="C13" s="21"/>
      <c r="D13" s="21"/>
      <c r="E13" s="169">
        <f>F61</f>
        <v>211.04</v>
      </c>
      <c r="F13" s="137">
        <f t="shared" si="0"/>
        <v>1.7158920766132062E-2</v>
      </c>
      <c r="G13" s="3"/>
    </row>
    <row r="14" spans="1:7" s="7" customFormat="1" ht="15.75" customHeight="1" x14ac:dyDescent="0.2">
      <c r="A14" s="328" t="str">
        <f>A65</f>
        <v>2. Uniformes e Equipamentos de Proteção Individual</v>
      </c>
      <c r="B14" s="329"/>
      <c r="C14" s="329"/>
      <c r="D14" s="39"/>
      <c r="E14" s="168">
        <f>+F84</f>
        <v>239</v>
      </c>
      <c r="F14" s="136">
        <f t="shared" si="0"/>
        <v>1.9432250109484284E-2</v>
      </c>
      <c r="G14" s="19"/>
    </row>
    <row r="15" spans="1:7" s="7" customFormat="1" ht="15.75" customHeight="1" x14ac:dyDescent="0.2">
      <c r="A15" s="29" t="str">
        <f>A66</f>
        <v>2.1. Uniformes e EPIs</v>
      </c>
      <c r="B15" s="255"/>
      <c r="C15" s="255"/>
      <c r="D15" s="39"/>
      <c r="E15" s="170">
        <f>F82</f>
        <v>239</v>
      </c>
      <c r="F15" s="218">
        <f t="shared" si="0"/>
        <v>1.9432250109484284E-2</v>
      </c>
      <c r="G15" s="19"/>
    </row>
    <row r="16" spans="1:7" s="7" customFormat="1" ht="15.75" customHeight="1" x14ac:dyDescent="0.2">
      <c r="A16" s="254" t="str">
        <f>A86</f>
        <v xml:space="preserve">3. Administração Local/Veículo de Apoio </v>
      </c>
      <c r="B16" s="255"/>
      <c r="C16" s="255"/>
      <c r="D16" s="39"/>
      <c r="E16" s="178">
        <f>F90</f>
        <v>0</v>
      </c>
      <c r="F16" s="136">
        <f t="shared" si="0"/>
        <v>0</v>
      </c>
      <c r="G16" s="19"/>
    </row>
    <row r="17" spans="1:9" s="7" customFormat="1" ht="15.75" customHeight="1" thickBot="1" x14ac:dyDescent="0.25">
      <c r="A17" s="254" t="str">
        <f>A95</f>
        <v>3. Benefícios e Despesas Indiretas</v>
      </c>
      <c r="B17" s="40"/>
      <c r="C17" s="39"/>
      <c r="D17" s="39"/>
      <c r="E17" s="171">
        <f>F99</f>
        <v>2286.8153630279639</v>
      </c>
      <c r="F17" s="136">
        <f t="shared" si="0"/>
        <v>0.1859329208726799</v>
      </c>
      <c r="G17" s="19"/>
    </row>
    <row r="18" spans="1:9" s="2" customFormat="1" ht="15.75" customHeight="1" thickBot="1" x14ac:dyDescent="0.25">
      <c r="A18" s="17" t="s">
        <v>108</v>
      </c>
      <c r="B18" s="18"/>
      <c r="C18" s="11"/>
      <c r="D18" s="11"/>
      <c r="E18" s="219">
        <f>E8+E14+E17+E16</f>
        <v>12299.141821118876</v>
      </c>
      <c r="F18" s="138">
        <f>F8+F14+F17+F16</f>
        <v>0.99999999999999989</v>
      </c>
      <c r="G18" s="3"/>
    </row>
    <row r="19" spans="1:9" s="2" customFormat="1" ht="15.75" customHeight="1" thickBot="1" x14ac:dyDescent="0.25">
      <c r="A19" s="146"/>
      <c r="B19" s="220"/>
      <c r="C19" s="13"/>
      <c r="D19" s="13"/>
      <c r="E19" s="221"/>
      <c r="F19" s="147"/>
      <c r="G19" s="3"/>
    </row>
    <row r="20" spans="1:9" s="7" customFormat="1" ht="15.75" customHeight="1" thickBot="1" x14ac:dyDescent="0.25">
      <c r="A20" s="114" t="s">
        <v>84</v>
      </c>
      <c r="B20" s="144">
        <f>44/44</f>
        <v>1</v>
      </c>
      <c r="C20" s="13"/>
      <c r="E20" s="49"/>
      <c r="G20" s="19"/>
    </row>
    <row r="21" spans="1:9" s="2" customFormat="1" ht="15.75" customHeight="1" x14ac:dyDescent="0.2">
      <c r="A21" s="188"/>
      <c r="B21" s="188"/>
      <c r="C21" s="188"/>
      <c r="D21" s="4"/>
      <c r="E21" s="222"/>
      <c r="F21" s="4"/>
      <c r="G21" s="3"/>
    </row>
    <row r="22" spans="1:9" ht="13.15" customHeight="1" x14ac:dyDescent="0.2">
      <c r="A22" s="7" t="s">
        <v>14</v>
      </c>
    </row>
    <row r="23" spans="1:9" ht="13.9" customHeight="1" thickBot="1" x14ac:dyDescent="0.25">
      <c r="A23" s="338" t="s">
        <v>162</v>
      </c>
      <c r="B23" s="338"/>
      <c r="C23" s="338"/>
      <c r="D23" s="338"/>
      <c r="E23" s="338"/>
      <c r="F23" s="338"/>
    </row>
    <row r="24" spans="1:9" ht="13.9" customHeight="1" thickBot="1" x14ac:dyDescent="0.25">
      <c r="A24" s="24" t="s">
        <v>15</v>
      </c>
      <c r="B24" s="25" t="s">
        <v>16</v>
      </c>
      <c r="C24" s="25" t="s">
        <v>10</v>
      </c>
      <c r="D24" s="26" t="s">
        <v>93</v>
      </c>
      <c r="E24" s="26" t="s">
        <v>17</v>
      </c>
      <c r="F24" s="27" t="s">
        <v>18</v>
      </c>
    </row>
    <row r="25" spans="1:9" ht="13.15" customHeight="1" x14ac:dyDescent="0.2">
      <c r="A25" s="121" t="s">
        <v>89</v>
      </c>
      <c r="B25" s="198" t="s">
        <v>6</v>
      </c>
      <c r="C25" s="198">
        <v>1</v>
      </c>
      <c r="D25" s="223">
        <v>1765.86</v>
      </c>
      <c r="E25" s="224">
        <f>C25*D25</f>
        <v>1765.86</v>
      </c>
    </row>
    <row r="26" spans="1:9" ht="13.15" customHeight="1" x14ac:dyDescent="0.2">
      <c r="A26" s="195" t="s">
        <v>145</v>
      </c>
      <c r="B26" s="196" t="s">
        <v>146</v>
      </c>
      <c r="C26" s="196">
        <v>15</v>
      </c>
      <c r="D26" s="257">
        <f>E25/220</f>
        <v>8.0266363636363636</v>
      </c>
      <c r="E26" s="197">
        <f>C26*D26</f>
        <v>120.39954545454546</v>
      </c>
    </row>
    <row r="27" spans="1:9" x14ac:dyDescent="0.2">
      <c r="A27" s="120" t="s">
        <v>0</v>
      </c>
      <c r="B27" s="156" t="s">
        <v>1</v>
      </c>
      <c r="C27" s="204">
        <v>40</v>
      </c>
      <c r="D27" s="225">
        <f>SUM(E25:E25)</f>
        <v>1765.86</v>
      </c>
      <c r="E27" s="141">
        <f>C27*D27/100</f>
        <v>706.34399999999994</v>
      </c>
      <c r="H27" s="121" t="s">
        <v>89</v>
      </c>
    </row>
    <row r="28" spans="1:9" x14ac:dyDescent="0.2">
      <c r="A28" s="142" t="s">
        <v>2</v>
      </c>
      <c r="B28" s="35"/>
      <c r="C28" s="35"/>
      <c r="D28" s="139"/>
      <c r="E28" s="226">
        <f>SUM(E25:E27)</f>
        <v>2592.6035454545454</v>
      </c>
      <c r="H28" s="145" t="s">
        <v>2</v>
      </c>
    </row>
    <row r="29" spans="1:9" x14ac:dyDescent="0.2">
      <c r="A29" s="120" t="s">
        <v>3</v>
      </c>
      <c r="B29" s="156" t="s">
        <v>1</v>
      </c>
      <c r="C29" s="201">
        <f>'3.Encargos Sociais'!C34*100</f>
        <v>70.050000000000011</v>
      </c>
      <c r="D29" s="141">
        <f>E28</f>
        <v>2592.6035454545454</v>
      </c>
      <c r="E29" s="141">
        <f>D29*C29/100</f>
        <v>1816.1187835909095</v>
      </c>
      <c r="H29" s="120" t="s">
        <v>3</v>
      </c>
      <c r="I29" s="227"/>
    </row>
    <row r="30" spans="1:9" x14ac:dyDescent="0.2">
      <c r="A30" s="142" t="s">
        <v>134</v>
      </c>
      <c r="B30" s="35"/>
      <c r="C30" s="35"/>
      <c r="D30" s="139"/>
      <c r="E30" s="140">
        <f>E28+E29</f>
        <v>4408.7223290454549</v>
      </c>
      <c r="H30" s="145" t="s">
        <v>135</v>
      </c>
    </row>
    <row r="31" spans="1:9" ht="13.5" thickBot="1" x14ac:dyDescent="0.25">
      <c r="A31" s="120" t="s">
        <v>4</v>
      </c>
      <c r="B31" s="156" t="s">
        <v>5</v>
      </c>
      <c r="C31" s="204">
        <v>2</v>
      </c>
      <c r="D31" s="141">
        <f>E30</f>
        <v>4408.7223290454549</v>
      </c>
      <c r="E31" s="141">
        <f>C31*D31</f>
        <v>8817.4446580909098</v>
      </c>
      <c r="G31" s="3"/>
      <c r="H31" s="120" t="s">
        <v>4</v>
      </c>
    </row>
    <row r="32" spans="1:9" ht="13.9" customHeight="1" thickBot="1" x14ac:dyDescent="0.25">
      <c r="A32" s="8" t="s">
        <v>160</v>
      </c>
      <c r="D32" s="162" t="s">
        <v>97</v>
      </c>
      <c r="E32" s="163">
        <f>B20</f>
        <v>1</v>
      </c>
      <c r="F32" s="182">
        <f>E32*D31*C31</f>
        <v>8817.4446580909098</v>
      </c>
      <c r="G32" s="3"/>
    </row>
    <row r="33" spans="1:9" ht="13.9" customHeight="1" x14ac:dyDescent="0.2">
      <c r="A33" s="330"/>
      <c r="B33" s="331"/>
      <c r="C33" s="331"/>
      <c r="D33" s="331"/>
      <c r="E33" s="228"/>
      <c r="F33" s="132"/>
      <c r="G33" s="3"/>
      <c r="I33" s="227"/>
    </row>
    <row r="34" spans="1:9" ht="13.5" hidden="1" thickBot="1" x14ac:dyDescent="0.25">
      <c r="A34" s="4" t="s">
        <v>150</v>
      </c>
      <c r="G34" s="3"/>
    </row>
    <row r="35" spans="1:9" ht="13.5" hidden="1" thickBot="1" x14ac:dyDescent="0.25">
      <c r="A35" s="24" t="s">
        <v>15</v>
      </c>
      <c r="B35" s="25" t="s">
        <v>16</v>
      </c>
      <c r="C35" s="25" t="s">
        <v>10</v>
      </c>
      <c r="D35" s="26" t="s">
        <v>93</v>
      </c>
      <c r="E35" s="26" t="s">
        <v>17</v>
      </c>
      <c r="F35" s="27" t="s">
        <v>18</v>
      </c>
      <c r="G35" s="3"/>
    </row>
    <row r="36" spans="1:9" hidden="1" x14ac:dyDescent="0.2">
      <c r="A36" s="121" t="s">
        <v>89</v>
      </c>
      <c r="B36" s="198" t="s">
        <v>6</v>
      </c>
      <c r="C36" s="198">
        <v>1</v>
      </c>
      <c r="D36" s="184">
        <v>0</v>
      </c>
      <c r="E36" s="172">
        <f>C36*D36</f>
        <v>0</v>
      </c>
      <c r="G36" s="3"/>
    </row>
    <row r="37" spans="1:9" hidden="1" x14ac:dyDescent="0.2">
      <c r="A37" s="120" t="s">
        <v>116</v>
      </c>
      <c r="B37" s="156" t="s">
        <v>6</v>
      </c>
      <c r="C37" s="156">
        <v>1</v>
      </c>
      <c r="D37" s="199">
        <v>0</v>
      </c>
      <c r="E37" s="175">
        <f>C37*D37</f>
        <v>0</v>
      </c>
      <c r="G37" s="3"/>
    </row>
    <row r="38" spans="1:9" hidden="1" x14ac:dyDescent="0.2">
      <c r="A38" s="121" t="s">
        <v>2</v>
      </c>
      <c r="B38" s="35"/>
      <c r="C38" s="35"/>
      <c r="D38" s="200"/>
      <c r="E38" s="172">
        <f>E36+E37</f>
        <v>0</v>
      </c>
      <c r="F38" s="19"/>
      <c r="G38" s="3"/>
    </row>
    <row r="39" spans="1:9" hidden="1" x14ac:dyDescent="0.2">
      <c r="A39" s="120" t="s">
        <v>3</v>
      </c>
      <c r="B39" s="156" t="s">
        <v>1</v>
      </c>
      <c r="C39" s="201">
        <f>'3.Encargos Sociais'!C34*100</f>
        <v>70.050000000000011</v>
      </c>
      <c r="D39" s="175">
        <f>E38</f>
        <v>0</v>
      </c>
      <c r="E39" s="175">
        <f>D39*C39/100</f>
        <v>0</v>
      </c>
      <c r="G39" s="3"/>
    </row>
    <row r="40" spans="1:9" hidden="1" x14ac:dyDescent="0.2">
      <c r="A40" s="120" t="s">
        <v>117</v>
      </c>
      <c r="B40" s="202"/>
      <c r="C40" s="202"/>
      <c r="D40" s="203"/>
      <c r="E40" s="175">
        <f>E38+E39</f>
        <v>0</v>
      </c>
      <c r="F40" s="19"/>
      <c r="G40" s="3"/>
    </row>
    <row r="41" spans="1:9" ht="13.5" hidden="1" thickBot="1" x14ac:dyDescent="0.25">
      <c r="A41" s="120" t="s">
        <v>4</v>
      </c>
      <c r="B41" s="156" t="s">
        <v>5</v>
      </c>
      <c r="C41" s="204">
        <v>1</v>
      </c>
      <c r="D41" s="175">
        <f>E40</f>
        <v>0</v>
      </c>
      <c r="E41" s="175">
        <f>C41*D41</f>
        <v>0</v>
      </c>
      <c r="G41" s="3"/>
    </row>
    <row r="42" spans="1:9" ht="13.5" hidden="1" thickBot="1" x14ac:dyDescent="0.25">
      <c r="A42" s="332" t="s">
        <v>156</v>
      </c>
      <c r="B42" s="332"/>
      <c r="C42" s="332"/>
      <c r="D42" s="162" t="s">
        <v>97</v>
      </c>
      <c r="E42" s="163">
        <f>20/44</f>
        <v>0.45454545454545453</v>
      </c>
      <c r="F42" s="182">
        <f>E41*E42</f>
        <v>0</v>
      </c>
      <c r="G42" s="3"/>
    </row>
    <row r="43" spans="1:9" hidden="1" x14ac:dyDescent="0.2">
      <c r="D43" s="4"/>
      <c r="E43" s="228"/>
      <c r="F43" s="132"/>
      <c r="G43" s="3"/>
    </row>
    <row r="44" spans="1:9" ht="11.25" customHeight="1" thickBot="1" x14ac:dyDescent="0.25">
      <c r="A44" s="4" t="s">
        <v>196</v>
      </c>
      <c r="B44" s="154"/>
      <c r="D44" s="4"/>
      <c r="E44" s="155"/>
      <c r="I44" s="229"/>
    </row>
    <row r="45" spans="1:9" ht="14.45" customHeight="1" thickBot="1" x14ac:dyDescent="0.25">
      <c r="A45" s="24" t="s">
        <v>15</v>
      </c>
      <c r="B45" s="25" t="s">
        <v>16</v>
      </c>
      <c r="C45" s="25" t="s">
        <v>10</v>
      </c>
      <c r="D45" s="26" t="s">
        <v>93</v>
      </c>
      <c r="E45" s="26" t="s">
        <v>17</v>
      </c>
      <c r="F45" s="27" t="s">
        <v>18</v>
      </c>
      <c r="I45" s="229"/>
    </row>
    <row r="46" spans="1:9" ht="15" customHeight="1" x14ac:dyDescent="0.2">
      <c r="A46" s="120" t="s">
        <v>118</v>
      </c>
      <c r="B46" s="156" t="s">
        <v>119</v>
      </c>
      <c r="C46" s="157">
        <v>1</v>
      </c>
      <c r="D46" s="158">
        <v>4.95</v>
      </c>
      <c r="E46" s="159"/>
      <c r="I46" s="229"/>
    </row>
    <row r="47" spans="1:9" ht="13.9" customHeight="1" x14ac:dyDescent="0.2">
      <c r="A47" s="120" t="s">
        <v>120</v>
      </c>
      <c r="B47" s="156" t="s">
        <v>121</v>
      </c>
      <c r="C47" s="160">
        <v>15</v>
      </c>
      <c r="D47" s="159"/>
      <c r="E47" s="159"/>
      <c r="I47" s="229"/>
    </row>
    <row r="48" spans="1:9" ht="14.45" customHeight="1" thickBot="1" x14ac:dyDescent="0.25">
      <c r="A48" s="120" t="s">
        <v>165</v>
      </c>
      <c r="B48" s="156" t="s">
        <v>122</v>
      </c>
      <c r="C48" s="176">
        <f>$C$47*2*(C31)</f>
        <v>60</v>
      </c>
      <c r="D48" s="161">
        <f>IFERROR((($C$47*2*$D$46)-(E25*0.06*C47/C47))/($C$47*2),"-")</f>
        <v>1.41828</v>
      </c>
      <c r="E48" s="159">
        <f>IFERROR(C48*D48,"-")</f>
        <v>85.096800000000002</v>
      </c>
      <c r="I48" s="229"/>
    </row>
    <row r="49" spans="1:11" ht="14.45" customHeight="1" thickBot="1" x14ac:dyDescent="0.25">
      <c r="F49" s="164">
        <f>SUM(E48:E48)</f>
        <v>85.096800000000002</v>
      </c>
      <c r="I49" s="229"/>
    </row>
    <row r="50" spans="1:11" ht="11.25" customHeight="1" x14ac:dyDescent="0.2">
      <c r="I50" s="229"/>
    </row>
    <row r="51" spans="1:11" ht="13.5" thickBot="1" x14ac:dyDescent="0.25">
      <c r="A51" s="4" t="s">
        <v>197</v>
      </c>
      <c r="F51" s="9"/>
      <c r="I51" s="230"/>
    </row>
    <row r="52" spans="1:11" ht="13.5" thickBot="1" x14ac:dyDescent="0.25">
      <c r="A52" s="24" t="s">
        <v>15</v>
      </c>
      <c r="B52" s="25" t="s">
        <v>16</v>
      </c>
      <c r="C52" s="25" t="s">
        <v>10</v>
      </c>
      <c r="D52" s="26" t="s">
        <v>93</v>
      </c>
      <c r="E52" s="26" t="s">
        <v>17</v>
      </c>
      <c r="F52" s="27" t="s">
        <v>18</v>
      </c>
      <c r="K52" s="231"/>
    </row>
    <row r="53" spans="1:11" ht="13.5" thickBot="1" x14ac:dyDescent="0.25">
      <c r="A53" s="120" t="s">
        <v>164</v>
      </c>
      <c r="B53" s="156" t="s">
        <v>7</v>
      </c>
      <c r="C53" s="183">
        <f>C47*C31</f>
        <v>30</v>
      </c>
      <c r="D53" s="165">
        <f>27.15*0.81</f>
        <v>21.991500000000002</v>
      </c>
      <c r="E53" s="205">
        <f>(D53*C53)</f>
        <v>659.74500000000012</v>
      </c>
      <c r="F53" s="9"/>
      <c r="I53" s="230"/>
    </row>
    <row r="54" spans="1:11" ht="13.5" hidden="1" thickBot="1" x14ac:dyDescent="0.25">
      <c r="A54" s="120" t="s">
        <v>148</v>
      </c>
      <c r="B54" s="156" t="s">
        <v>7</v>
      </c>
      <c r="C54" s="183">
        <v>0</v>
      </c>
      <c r="D54" s="165">
        <f>27.15*0.81</f>
        <v>21.991500000000002</v>
      </c>
      <c r="E54" s="205">
        <f>(D54*C54)</f>
        <v>0</v>
      </c>
      <c r="F54" s="9"/>
      <c r="I54" s="230"/>
    </row>
    <row r="55" spans="1:11" ht="13.5" thickBot="1" x14ac:dyDescent="0.25">
      <c r="A55" s="166"/>
      <c r="B55" s="166"/>
      <c r="D55" s="162" t="s">
        <v>97</v>
      </c>
      <c r="E55" s="186">
        <v>1</v>
      </c>
      <c r="F55" s="167">
        <f>SUM(E53:E54)*E55</f>
        <v>659.74500000000012</v>
      </c>
      <c r="G55" s="231"/>
    </row>
    <row r="56" spans="1:11" x14ac:dyDescent="0.2">
      <c r="A56" s="232"/>
      <c r="B56" s="232"/>
      <c r="D56" s="162"/>
      <c r="E56" s="188"/>
      <c r="F56" s="233"/>
      <c r="G56" s="4"/>
    </row>
    <row r="57" spans="1:11" ht="13.5" thickBot="1" x14ac:dyDescent="0.25">
      <c r="A57" s="4" t="s">
        <v>198</v>
      </c>
      <c r="F57" s="9"/>
      <c r="G57" s="4"/>
    </row>
    <row r="58" spans="1:11" ht="13.5" thickBot="1" x14ac:dyDescent="0.25">
      <c r="A58" s="24" t="s">
        <v>15</v>
      </c>
      <c r="B58" s="25" t="s">
        <v>16</v>
      </c>
      <c r="C58" s="25" t="s">
        <v>10</v>
      </c>
      <c r="D58" s="26" t="s">
        <v>93</v>
      </c>
      <c r="E58" s="26" t="s">
        <v>17</v>
      </c>
      <c r="F58" s="27" t="s">
        <v>18</v>
      </c>
      <c r="G58" s="4"/>
    </row>
    <row r="59" spans="1:11" x14ac:dyDescent="0.2">
      <c r="A59" s="120" t="s">
        <v>123</v>
      </c>
      <c r="B59" s="156" t="s">
        <v>7</v>
      </c>
      <c r="C59" s="177">
        <f>C31</f>
        <v>2</v>
      </c>
      <c r="D59" s="165">
        <v>25.52</v>
      </c>
      <c r="E59" s="205">
        <f>C59*D59</f>
        <v>51.04</v>
      </c>
      <c r="F59" s="9"/>
      <c r="G59" s="4"/>
    </row>
    <row r="60" spans="1:11" ht="13.5" thickBot="1" x14ac:dyDescent="0.25">
      <c r="A60" s="120" t="s">
        <v>158</v>
      </c>
      <c r="B60" s="156" t="s">
        <v>7</v>
      </c>
      <c r="C60" s="177">
        <f>C31</f>
        <v>2</v>
      </c>
      <c r="D60" s="165">
        <v>80</v>
      </c>
      <c r="E60" s="205">
        <f>C60*D60</f>
        <v>160</v>
      </c>
      <c r="F60" s="9"/>
      <c r="G60" s="4"/>
    </row>
    <row r="61" spans="1:11" ht="13.5" thickBot="1" x14ac:dyDescent="0.25">
      <c r="A61" s="166"/>
      <c r="B61" s="166"/>
      <c r="D61" s="162" t="s">
        <v>97</v>
      </c>
      <c r="E61" s="186">
        <v>1</v>
      </c>
      <c r="F61" s="167">
        <f>SUM(E59:E60)*E61</f>
        <v>211.04</v>
      </c>
      <c r="G61" s="4"/>
    </row>
    <row r="62" spans="1:11" ht="13.5" thickBot="1" x14ac:dyDescent="0.25">
      <c r="A62" s="232"/>
      <c r="B62" s="232"/>
      <c r="D62" s="162"/>
      <c r="E62" s="188"/>
      <c r="F62" s="233"/>
      <c r="G62" s="4"/>
    </row>
    <row r="63" spans="1:11" ht="13.5" thickBot="1" x14ac:dyDescent="0.25">
      <c r="A63" s="123" t="s">
        <v>98</v>
      </c>
      <c r="B63" s="124"/>
      <c r="C63" s="124"/>
      <c r="D63" s="125"/>
      <c r="E63" s="126"/>
      <c r="F63" s="179">
        <f>F32+F49+F55+F61+F42</f>
        <v>9773.3264580909108</v>
      </c>
      <c r="G63" s="4"/>
      <c r="H63" s="234"/>
    </row>
    <row r="64" spans="1:11" ht="15" customHeight="1" x14ac:dyDescent="0.2"/>
    <row r="65" spans="1:7" x14ac:dyDescent="0.2">
      <c r="A65" s="7" t="s">
        <v>13</v>
      </c>
      <c r="G65" s="4"/>
    </row>
    <row r="66" spans="1:7" ht="13.9" customHeight="1" thickBot="1" x14ac:dyDescent="0.25">
      <c r="A66" s="4" t="s">
        <v>109</v>
      </c>
      <c r="G66" s="4"/>
    </row>
    <row r="67" spans="1:7" ht="27.75" customHeight="1" thickBot="1" x14ac:dyDescent="0.25">
      <c r="A67" s="24" t="s">
        <v>15</v>
      </c>
      <c r="B67" s="25" t="s">
        <v>16</v>
      </c>
      <c r="C67" s="118" t="s">
        <v>130</v>
      </c>
      <c r="D67" s="26" t="s">
        <v>93</v>
      </c>
      <c r="E67" s="26" t="s">
        <v>17</v>
      </c>
      <c r="F67" s="27" t="s">
        <v>18</v>
      </c>
      <c r="G67" s="4"/>
    </row>
    <row r="68" spans="1:7" ht="13.15" customHeight="1" x14ac:dyDescent="0.2">
      <c r="A68" s="121" t="s">
        <v>159</v>
      </c>
      <c r="B68" s="198" t="s">
        <v>7</v>
      </c>
      <c r="C68" s="173">
        <v>12</v>
      </c>
      <c r="D68" s="184">
        <v>170</v>
      </c>
      <c r="E68" s="161">
        <f t="shared" ref="E68:E80" si="1">IFERROR(D68/C68,0)</f>
        <v>14.166666666666666</v>
      </c>
      <c r="G68" s="4"/>
    </row>
    <row r="69" spans="1:7" ht="13.15" customHeight="1" x14ac:dyDescent="0.2">
      <c r="A69" s="120" t="s">
        <v>124</v>
      </c>
      <c r="B69" s="156" t="s">
        <v>7</v>
      </c>
      <c r="C69" s="173">
        <v>6</v>
      </c>
      <c r="D69" s="184">
        <v>75</v>
      </c>
      <c r="E69" s="161">
        <f t="shared" si="1"/>
        <v>12.5</v>
      </c>
      <c r="G69" s="4"/>
    </row>
    <row r="70" spans="1:7" x14ac:dyDescent="0.2">
      <c r="A70" s="120" t="s">
        <v>181</v>
      </c>
      <c r="B70" s="156" t="s">
        <v>7</v>
      </c>
      <c r="C70" s="173">
        <v>4</v>
      </c>
      <c r="D70" s="278">
        <v>45</v>
      </c>
      <c r="E70" s="161">
        <f t="shared" si="1"/>
        <v>11.25</v>
      </c>
      <c r="G70" s="4"/>
    </row>
    <row r="71" spans="1:7" x14ac:dyDescent="0.2">
      <c r="A71" s="120" t="s">
        <v>182</v>
      </c>
      <c r="B71" s="156" t="s">
        <v>7</v>
      </c>
      <c r="C71" s="173">
        <v>4</v>
      </c>
      <c r="D71" s="278">
        <v>43</v>
      </c>
      <c r="E71" s="161">
        <f t="shared" si="1"/>
        <v>10.75</v>
      </c>
      <c r="G71" s="4"/>
    </row>
    <row r="72" spans="1:7" x14ac:dyDescent="0.2">
      <c r="A72" s="120" t="s">
        <v>183</v>
      </c>
      <c r="B72" s="156" t="s">
        <v>7</v>
      </c>
      <c r="C72" s="173">
        <v>6</v>
      </c>
      <c r="D72" s="184">
        <v>48</v>
      </c>
      <c r="E72" s="161">
        <f t="shared" si="1"/>
        <v>8</v>
      </c>
      <c r="G72" s="4"/>
    </row>
    <row r="73" spans="1:7" x14ac:dyDescent="0.2">
      <c r="A73" s="120" t="s">
        <v>184</v>
      </c>
      <c r="B73" s="156" t="s">
        <v>7</v>
      </c>
      <c r="C73" s="173">
        <v>6</v>
      </c>
      <c r="D73" s="184">
        <v>50</v>
      </c>
      <c r="E73" s="161">
        <f t="shared" si="1"/>
        <v>8.3333333333333339</v>
      </c>
      <c r="G73" s="4"/>
    </row>
    <row r="74" spans="1:7" x14ac:dyDescent="0.2">
      <c r="A74" s="120" t="s">
        <v>185</v>
      </c>
      <c r="B74" s="156" t="s">
        <v>125</v>
      </c>
      <c r="C74" s="173">
        <v>6</v>
      </c>
      <c r="D74" s="184">
        <v>75</v>
      </c>
      <c r="E74" s="161">
        <f t="shared" si="1"/>
        <v>12.5</v>
      </c>
      <c r="G74" s="4"/>
    </row>
    <row r="75" spans="1:7" x14ac:dyDescent="0.2">
      <c r="A75" s="120" t="s">
        <v>186</v>
      </c>
      <c r="B75" s="156" t="s">
        <v>125</v>
      </c>
      <c r="C75" s="173">
        <v>2</v>
      </c>
      <c r="D75" s="184">
        <v>12</v>
      </c>
      <c r="E75" s="161">
        <f t="shared" si="1"/>
        <v>6</v>
      </c>
      <c r="G75" s="4"/>
    </row>
    <row r="76" spans="1:7" x14ac:dyDescent="0.2">
      <c r="A76" s="120" t="s">
        <v>187</v>
      </c>
      <c r="B76" s="156" t="s">
        <v>7</v>
      </c>
      <c r="C76" s="173">
        <v>6</v>
      </c>
      <c r="D76" s="184">
        <v>55</v>
      </c>
      <c r="E76" s="161">
        <f t="shared" si="1"/>
        <v>9.1666666666666661</v>
      </c>
      <c r="G76" s="4"/>
    </row>
    <row r="77" spans="1:7" x14ac:dyDescent="0.2">
      <c r="A77" s="153" t="s">
        <v>188</v>
      </c>
      <c r="B77" s="207" t="s">
        <v>7</v>
      </c>
      <c r="C77" s="173">
        <v>6</v>
      </c>
      <c r="D77" s="184">
        <v>33</v>
      </c>
      <c r="E77" s="161">
        <f t="shared" si="1"/>
        <v>5.5</v>
      </c>
      <c r="G77" s="4"/>
    </row>
    <row r="78" spans="1:7" x14ac:dyDescent="0.2">
      <c r="A78" s="120" t="s">
        <v>189</v>
      </c>
      <c r="B78" s="156" t="s">
        <v>125</v>
      </c>
      <c r="C78" s="173">
        <v>2</v>
      </c>
      <c r="D78" s="184">
        <v>10</v>
      </c>
      <c r="E78" s="161">
        <f t="shared" si="1"/>
        <v>5</v>
      </c>
      <c r="G78" s="4"/>
    </row>
    <row r="79" spans="1:7" x14ac:dyDescent="0.2">
      <c r="A79" s="120" t="s">
        <v>190</v>
      </c>
      <c r="B79" s="156" t="s">
        <v>16</v>
      </c>
      <c r="C79" s="173">
        <v>6</v>
      </c>
      <c r="D79" s="184">
        <v>20</v>
      </c>
      <c r="E79" s="161">
        <f t="shared" si="1"/>
        <v>3.3333333333333335</v>
      </c>
      <c r="G79" s="4"/>
    </row>
    <row r="80" spans="1:7" x14ac:dyDescent="0.2">
      <c r="A80" s="120" t="s">
        <v>191</v>
      </c>
      <c r="B80" s="156" t="s">
        <v>192</v>
      </c>
      <c r="C80" s="173">
        <v>2</v>
      </c>
      <c r="D80" s="184">
        <v>26</v>
      </c>
      <c r="E80" s="161">
        <f t="shared" si="1"/>
        <v>13</v>
      </c>
      <c r="G80" s="4"/>
    </row>
    <row r="81" spans="1:7" ht="13.5" thickBot="1" x14ac:dyDescent="0.25">
      <c r="A81" s="333" t="s">
        <v>136</v>
      </c>
      <c r="B81" s="334"/>
      <c r="C81" s="235">
        <f>C31</f>
        <v>2</v>
      </c>
      <c r="D81" s="174">
        <f>+SUM(E68:E80)</f>
        <v>119.5</v>
      </c>
      <c r="E81" s="175">
        <f>C81*D81</f>
        <v>239</v>
      </c>
    </row>
    <row r="82" spans="1:7" ht="13.5" thickBot="1" x14ac:dyDescent="0.25">
      <c r="D82" s="162" t="s">
        <v>97</v>
      </c>
      <c r="E82" s="163">
        <f>B20</f>
        <v>1</v>
      </c>
      <c r="F82" s="182">
        <f>E81*E82</f>
        <v>239</v>
      </c>
    </row>
    <row r="83" spans="1:7" ht="11.25" customHeight="1" thickBot="1" x14ac:dyDescent="0.25">
      <c r="G83" s="4"/>
    </row>
    <row r="84" spans="1:7" ht="13.5" thickBot="1" x14ac:dyDescent="0.25">
      <c r="A84" s="123" t="s">
        <v>99</v>
      </c>
      <c r="B84" s="127"/>
      <c r="C84" s="127"/>
      <c r="D84" s="128"/>
      <c r="E84" s="129"/>
      <c r="F84" s="236">
        <f>+F82</f>
        <v>239</v>
      </c>
      <c r="G84" s="4"/>
    </row>
    <row r="85" spans="1:7" ht="11.25" customHeight="1" thickBot="1" x14ac:dyDescent="0.25">
      <c r="G85" s="4"/>
    </row>
    <row r="86" spans="1:7" ht="11.25" hidden="1" customHeight="1" thickBot="1" x14ac:dyDescent="0.25">
      <c r="A86" s="7" t="s">
        <v>137</v>
      </c>
      <c r="G86" s="4"/>
    </row>
    <row r="87" spans="1:7" ht="11.25" hidden="1" customHeight="1" thickBot="1" x14ac:dyDescent="0.25">
      <c r="A87" s="24" t="s">
        <v>15</v>
      </c>
      <c r="B87" s="25" t="s">
        <v>16</v>
      </c>
      <c r="C87" s="25" t="s">
        <v>10</v>
      </c>
      <c r="D87" s="26" t="s">
        <v>93</v>
      </c>
      <c r="E87" s="26" t="s">
        <v>17</v>
      </c>
      <c r="F87" s="27" t="s">
        <v>18</v>
      </c>
      <c r="G87" s="4"/>
    </row>
    <row r="88" spans="1:7" ht="28.5" hidden="1" customHeight="1" x14ac:dyDescent="0.2">
      <c r="A88" s="208" t="s">
        <v>200</v>
      </c>
      <c r="B88" s="209" t="s">
        <v>138</v>
      </c>
      <c r="C88" s="210"/>
      <c r="D88" s="211">
        <v>2.4</v>
      </c>
      <c r="E88" s="185">
        <f>C88*D88</f>
        <v>0</v>
      </c>
      <c r="G88" s="4"/>
    </row>
    <row r="89" spans="1:7" ht="26.25" hidden="1" thickBot="1" x14ac:dyDescent="0.25">
      <c r="A89" s="208" t="s">
        <v>131</v>
      </c>
      <c r="B89" s="209" t="s">
        <v>128</v>
      </c>
      <c r="C89" s="210"/>
      <c r="D89" s="211">
        <v>500</v>
      </c>
      <c r="E89" s="185">
        <f>C89*D89</f>
        <v>0</v>
      </c>
      <c r="G89" s="4"/>
    </row>
    <row r="90" spans="1:7" ht="11.25" hidden="1" customHeight="1" thickBot="1" x14ac:dyDescent="0.25">
      <c r="A90" s="8"/>
      <c r="B90" s="8"/>
      <c r="C90" s="8"/>
      <c r="D90" s="162" t="s">
        <v>139</v>
      </c>
      <c r="E90" s="186">
        <v>1</v>
      </c>
      <c r="F90" s="237">
        <f>SUM(E88:E89)</f>
        <v>0</v>
      </c>
      <c r="G90" s="4"/>
    </row>
    <row r="91" spans="1:7" ht="11.25" hidden="1" customHeight="1" x14ac:dyDescent="0.2">
      <c r="G91" s="4"/>
    </row>
    <row r="92" spans="1:7" ht="11.25" hidden="1" customHeight="1" thickBot="1" x14ac:dyDescent="0.25">
      <c r="G92" s="4"/>
    </row>
    <row r="93" spans="1:7" ht="11.25" customHeight="1" thickBot="1" x14ac:dyDescent="0.25">
      <c r="A93" s="10" t="s">
        <v>140</v>
      </c>
      <c r="B93" s="189"/>
      <c r="C93" s="189"/>
      <c r="D93" s="190"/>
      <c r="E93" s="191"/>
      <c r="F93" s="164">
        <f>F63+F84+F90</f>
        <v>10012.326458090911</v>
      </c>
      <c r="G93" s="4"/>
    </row>
    <row r="94" spans="1:7" ht="11.25" customHeight="1" x14ac:dyDescent="0.2">
      <c r="G94" s="4"/>
    </row>
    <row r="95" spans="1:7" ht="13.5" thickBot="1" x14ac:dyDescent="0.25">
      <c r="A95" s="7" t="s">
        <v>248</v>
      </c>
      <c r="B95" s="7"/>
      <c r="C95" s="7"/>
      <c r="D95" s="13"/>
      <c r="E95" s="13"/>
      <c r="F95" s="12"/>
    </row>
    <row r="96" spans="1:7" x14ac:dyDescent="0.2">
      <c r="A96" s="31" t="s">
        <v>15</v>
      </c>
      <c r="B96" s="32" t="s">
        <v>16</v>
      </c>
      <c r="C96" s="32" t="s">
        <v>10</v>
      </c>
      <c r="D96" s="33" t="s">
        <v>93</v>
      </c>
      <c r="E96" s="33" t="s">
        <v>17</v>
      </c>
      <c r="F96" s="135" t="s">
        <v>18</v>
      </c>
    </row>
    <row r="97" spans="1:11" x14ac:dyDescent="0.2">
      <c r="A97" s="133" t="s">
        <v>8</v>
      </c>
      <c r="B97" s="143" t="s">
        <v>1</v>
      </c>
      <c r="C97" s="238">
        <f>'4.BDI'!C18</f>
        <v>0.22839999999999999</v>
      </c>
      <c r="D97" s="134">
        <f>F93</f>
        <v>10012.326458090911</v>
      </c>
      <c r="E97" s="134">
        <f>D97*C97</f>
        <v>2286.8153630279639</v>
      </c>
      <c r="F97" s="239"/>
    </row>
    <row r="98" spans="1:11" ht="13.5" thickBot="1" x14ac:dyDescent="0.25">
      <c r="A98" s="240"/>
      <c r="B98" s="240"/>
      <c r="C98" s="240"/>
      <c r="D98" s="240"/>
      <c r="E98" s="240"/>
      <c r="F98" s="241"/>
    </row>
    <row r="99" spans="1:11" ht="13.5" thickBot="1" x14ac:dyDescent="0.25">
      <c r="A99" s="335" t="s">
        <v>127</v>
      </c>
      <c r="B99" s="336"/>
      <c r="C99" s="336"/>
      <c r="D99" s="336"/>
      <c r="E99" s="337"/>
      <c r="F99" s="236">
        <f>E97</f>
        <v>2286.8153630279639</v>
      </c>
    </row>
    <row r="100" spans="1:11" ht="11.25" customHeight="1" thickBot="1" x14ac:dyDescent="0.25"/>
    <row r="101" spans="1:11" ht="24.75" customHeight="1" thickBot="1" x14ac:dyDescent="0.25">
      <c r="A101" s="10" t="s">
        <v>100</v>
      </c>
      <c r="B101" s="189"/>
      <c r="C101" s="189"/>
      <c r="D101" s="190"/>
      <c r="E101" s="191"/>
      <c r="F101" s="167">
        <f>F63+F84+F99+F90</f>
        <v>12299.141821118876</v>
      </c>
    </row>
    <row r="102" spans="1:11" ht="13.5" hidden="1" customHeight="1" thickBot="1" x14ac:dyDescent="0.25">
      <c r="A102" s="7"/>
      <c r="D102" s="188"/>
      <c r="E102" s="188"/>
    </row>
    <row r="103" spans="1:11" ht="13.5" hidden="1" customHeight="1" thickBot="1" x14ac:dyDescent="0.25">
      <c r="A103" s="10" t="s">
        <v>247</v>
      </c>
      <c r="B103" s="189"/>
      <c r="C103" s="189"/>
      <c r="D103" s="190"/>
      <c r="E103" s="191"/>
      <c r="F103" s="167">
        <f>F101/C31</f>
        <v>6149.5709105594378</v>
      </c>
    </row>
    <row r="104" spans="1:11" ht="12.6" customHeight="1" x14ac:dyDescent="0.2">
      <c r="A104" s="242"/>
      <c r="B104" s="242"/>
      <c r="C104" s="242"/>
      <c r="D104" s="23"/>
      <c r="E104" s="23"/>
      <c r="F104" s="23"/>
      <c r="G104" s="229"/>
    </row>
    <row r="105" spans="1:11" ht="12.6" hidden="1" customHeight="1" thickBot="1" x14ac:dyDescent="0.25">
      <c r="A105" s="212" t="s">
        <v>132</v>
      </c>
      <c r="B105" s="194">
        <v>167.14</v>
      </c>
      <c r="C105" s="215" t="s">
        <v>133</v>
      </c>
      <c r="D105" s="213"/>
      <c r="E105" s="214"/>
      <c r="F105" s="206">
        <f>F103/B105</f>
        <v>36.792933532125396</v>
      </c>
      <c r="G105" s="229"/>
    </row>
    <row r="106" spans="1:11" ht="12.6" hidden="1" customHeight="1" x14ac:dyDescent="0.2">
      <c r="A106" s="242"/>
      <c r="B106" s="242"/>
      <c r="C106" s="242"/>
      <c r="D106" s="23"/>
      <c r="E106" s="23"/>
      <c r="F106" s="23"/>
      <c r="G106" s="229"/>
    </row>
    <row r="107" spans="1:11" x14ac:dyDescent="0.2">
      <c r="A107" s="7" t="s">
        <v>141</v>
      </c>
      <c r="F107" s="243"/>
    </row>
    <row r="108" spans="1:11" x14ac:dyDescent="0.2">
      <c r="F108" s="244"/>
    </row>
    <row r="109" spans="1:11" x14ac:dyDescent="0.2">
      <c r="F109" s="243"/>
    </row>
    <row r="110" spans="1:11" s="122" customFormat="1" x14ac:dyDescent="0.2">
      <c r="A110" s="4"/>
      <c r="B110" s="4"/>
      <c r="C110" s="4"/>
      <c r="F110" s="245"/>
      <c r="H110" s="4"/>
      <c r="I110" s="4"/>
      <c r="J110" s="4"/>
      <c r="K110" s="4"/>
    </row>
    <row r="134" spans="4:7" ht="9" customHeight="1" x14ac:dyDescent="0.2">
      <c r="D134" s="4"/>
      <c r="E134" s="4"/>
      <c r="F134" s="4"/>
      <c r="G134" s="4"/>
    </row>
  </sheetData>
  <mergeCells count="10">
    <mergeCell ref="A33:D33"/>
    <mergeCell ref="A42:C42"/>
    <mergeCell ref="A81:B81"/>
    <mergeCell ref="A99:E99"/>
    <mergeCell ref="A1:F1"/>
    <mergeCell ref="A2:F3"/>
    <mergeCell ref="A4:F4"/>
    <mergeCell ref="A6:F6"/>
    <mergeCell ref="A14:C14"/>
    <mergeCell ref="A23:F23"/>
  </mergeCells>
  <printOptions horizontalCentered="1"/>
  <pageMargins left="0.9055118110236221" right="0.70866141732283472" top="0.74803149606299213" bottom="0.55118110236220474" header="0.31496062992125984" footer="0.31496062992125984"/>
  <pageSetup paperSize="9" scale="68" fitToHeight="2" orientation="portrait" r:id="rId1"/>
  <headerFooter alignWithMargins="0">
    <oddFooter>&amp;R&amp;P de &amp;N</oddFooter>
  </headerFooter>
  <rowBreaks count="1" manualBreakCount="1">
    <brk id="20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21" zoomScale="120" zoomScaleNormal="120" workbookViewId="0">
      <selection activeCell="C20" sqref="C20"/>
    </sheetView>
  </sheetViews>
  <sheetFormatPr defaultColWidth="9.140625" defaultRowHeight="12.75" x14ac:dyDescent="0.2"/>
  <cols>
    <col min="1" max="1" width="13.5703125" style="1" customWidth="1"/>
    <col min="2" max="2" width="42.7109375" style="1" customWidth="1"/>
    <col min="3" max="3" width="14.5703125" style="1" customWidth="1"/>
    <col min="4" max="9" width="9.140625" style="1"/>
    <col min="10" max="10" width="11" style="1" bestFit="1" customWidth="1"/>
    <col min="11" max="16384" width="9.140625" style="1"/>
  </cols>
  <sheetData>
    <row r="1" spans="1:11" x14ac:dyDescent="0.2">
      <c r="A1" s="7" t="s">
        <v>87</v>
      </c>
    </row>
    <row r="2" spans="1:11" x14ac:dyDescent="0.2">
      <c r="A2" s="253" t="s">
        <v>144</v>
      </c>
    </row>
    <row r="3" spans="1:11" ht="13.5" thickBot="1" x14ac:dyDescent="0.25"/>
    <row r="4" spans="1:11" ht="18" x14ac:dyDescent="0.2">
      <c r="A4" s="348" t="s">
        <v>143</v>
      </c>
      <c r="B4" s="349"/>
      <c r="C4" s="350"/>
      <c r="D4" s="46"/>
      <c r="E4" s="46"/>
    </row>
    <row r="5" spans="1:11" ht="14.25" x14ac:dyDescent="0.2">
      <c r="A5" s="51" t="s">
        <v>33</v>
      </c>
      <c r="B5" s="52" t="s">
        <v>34</v>
      </c>
      <c r="C5" s="53" t="s">
        <v>35</v>
      </c>
    </row>
    <row r="6" spans="1:11" ht="14.25" x14ac:dyDescent="0.2">
      <c r="A6" s="51" t="s">
        <v>36</v>
      </c>
      <c r="B6" s="52" t="s">
        <v>11</v>
      </c>
      <c r="C6" s="55">
        <v>0.2</v>
      </c>
      <c r="E6" s="50"/>
      <c r="F6" s="50"/>
      <c r="G6" s="50"/>
      <c r="H6" s="50"/>
      <c r="I6" s="50"/>
      <c r="J6" s="50"/>
      <c r="K6" s="50"/>
    </row>
    <row r="7" spans="1:11" ht="14.25" x14ac:dyDescent="0.2">
      <c r="A7" s="51" t="s">
        <v>37</v>
      </c>
      <c r="B7" s="52" t="s">
        <v>38</v>
      </c>
      <c r="C7" s="55">
        <v>1.4999999999999999E-2</v>
      </c>
      <c r="E7" s="50"/>
      <c r="F7" s="50"/>
      <c r="G7" s="50"/>
      <c r="H7" s="50"/>
      <c r="I7" s="50"/>
      <c r="J7" s="50"/>
      <c r="K7" s="50"/>
    </row>
    <row r="8" spans="1:11" ht="14.25" x14ac:dyDescent="0.2">
      <c r="A8" s="51" t="s">
        <v>39</v>
      </c>
      <c r="B8" s="52" t="s">
        <v>40</v>
      </c>
      <c r="C8" s="55">
        <v>0.01</v>
      </c>
      <c r="E8" s="50"/>
      <c r="F8" s="50"/>
      <c r="G8" s="50"/>
      <c r="H8" s="50"/>
      <c r="I8" s="50"/>
      <c r="J8" s="50"/>
      <c r="K8" s="50"/>
    </row>
    <row r="9" spans="1:11" ht="14.25" x14ac:dyDescent="0.2">
      <c r="A9" s="51" t="s">
        <v>41</v>
      </c>
      <c r="B9" s="52" t="s">
        <v>42</v>
      </c>
      <c r="C9" s="55">
        <v>2E-3</v>
      </c>
      <c r="E9" s="50"/>
      <c r="F9" s="50"/>
      <c r="G9" s="50"/>
      <c r="H9" s="50"/>
      <c r="I9" s="50"/>
      <c r="J9" s="50"/>
      <c r="K9" s="50"/>
    </row>
    <row r="10" spans="1:11" ht="14.25" x14ac:dyDescent="0.2">
      <c r="A10" s="51" t="s">
        <v>43</v>
      </c>
      <c r="B10" s="52" t="s">
        <v>44</v>
      </c>
      <c r="C10" s="55">
        <v>6.0000000000000001E-3</v>
      </c>
      <c r="E10" s="50"/>
      <c r="F10" s="50"/>
      <c r="G10" s="50"/>
      <c r="H10" s="50"/>
      <c r="I10" s="50"/>
      <c r="J10" s="50"/>
      <c r="K10" s="50"/>
    </row>
    <row r="11" spans="1:11" ht="14.25" x14ac:dyDescent="0.2">
      <c r="A11" s="51" t="s">
        <v>45</v>
      </c>
      <c r="B11" s="52" t="s">
        <v>46</v>
      </c>
      <c r="C11" s="55">
        <v>2.5000000000000001E-2</v>
      </c>
      <c r="E11" s="50"/>
      <c r="F11" s="50"/>
      <c r="G11" s="50"/>
      <c r="H11" s="50"/>
      <c r="I11" s="50"/>
      <c r="J11" s="50"/>
      <c r="K11" s="50"/>
    </row>
    <row r="12" spans="1:11" ht="14.25" x14ac:dyDescent="0.2">
      <c r="A12" s="51" t="s">
        <v>47</v>
      </c>
      <c r="B12" s="52" t="s">
        <v>110</v>
      </c>
      <c r="C12" s="55">
        <v>0.03</v>
      </c>
      <c r="E12" s="50"/>
      <c r="F12" s="50"/>
      <c r="G12" s="50"/>
      <c r="H12" s="50"/>
      <c r="I12" s="50"/>
      <c r="J12" s="50"/>
      <c r="K12" s="50"/>
    </row>
    <row r="13" spans="1:11" ht="14.25" x14ac:dyDescent="0.2">
      <c r="A13" s="51" t="s">
        <v>48</v>
      </c>
      <c r="B13" s="52" t="s">
        <v>12</v>
      </c>
      <c r="C13" s="55">
        <v>0.08</v>
      </c>
      <c r="E13" s="50"/>
      <c r="F13" s="50"/>
      <c r="G13" s="50"/>
      <c r="H13" s="50"/>
      <c r="I13" s="50"/>
      <c r="J13" s="50"/>
      <c r="K13" s="50"/>
    </row>
    <row r="14" spans="1:11" ht="15" x14ac:dyDescent="0.2">
      <c r="A14" s="51" t="s">
        <v>49</v>
      </c>
      <c r="B14" s="57" t="s">
        <v>50</v>
      </c>
      <c r="C14" s="58">
        <f>SUM(C6:C13)</f>
        <v>0.36800000000000005</v>
      </c>
      <c r="E14" s="50"/>
      <c r="F14" s="50"/>
      <c r="G14" s="50"/>
      <c r="H14" s="50"/>
      <c r="I14" s="50"/>
      <c r="J14" s="50"/>
      <c r="K14" s="50"/>
    </row>
    <row r="15" spans="1:11" ht="15" x14ac:dyDescent="0.2">
      <c r="A15" s="59"/>
      <c r="B15" s="60"/>
      <c r="C15" s="61"/>
      <c r="E15" s="50"/>
      <c r="F15" s="50"/>
      <c r="G15" s="50"/>
      <c r="H15" s="50"/>
      <c r="I15" s="50"/>
      <c r="J15" s="50"/>
      <c r="K15" s="50"/>
    </row>
    <row r="16" spans="1:11" ht="14.25" x14ac:dyDescent="0.2">
      <c r="A16" s="51" t="s">
        <v>51</v>
      </c>
      <c r="B16" s="62" t="s">
        <v>52</v>
      </c>
      <c r="C16" s="55">
        <v>7.4999999999999997E-2</v>
      </c>
      <c r="E16" s="50"/>
      <c r="F16" s="50"/>
      <c r="G16" s="50"/>
      <c r="H16" s="50"/>
      <c r="I16" s="50"/>
      <c r="J16" s="50"/>
      <c r="K16" s="50"/>
    </row>
    <row r="17" spans="1:11" ht="14.25" x14ac:dyDescent="0.2">
      <c r="A17" s="51" t="s">
        <v>53</v>
      </c>
      <c r="B17" s="62" t="s">
        <v>54</v>
      </c>
      <c r="C17" s="55">
        <v>8.3299999999999999E-2</v>
      </c>
      <c r="E17" s="50"/>
      <c r="F17" s="50"/>
      <c r="G17" s="50"/>
      <c r="H17" s="50"/>
      <c r="I17" s="50"/>
      <c r="J17" s="50"/>
      <c r="K17" s="50"/>
    </row>
    <row r="18" spans="1:11" ht="14.25" x14ac:dyDescent="0.2">
      <c r="A18" s="51" t="s">
        <v>91</v>
      </c>
      <c r="B18" s="62" t="s">
        <v>56</v>
      </c>
      <c r="C18" s="55">
        <v>1E-3</v>
      </c>
      <c r="E18" s="50"/>
      <c r="F18" s="50"/>
      <c r="G18" s="50"/>
      <c r="H18" s="50"/>
      <c r="I18" s="50"/>
      <c r="J18" s="50"/>
      <c r="K18" s="50"/>
    </row>
    <row r="19" spans="1:11" ht="14.25" x14ac:dyDescent="0.2">
      <c r="A19" s="51" t="s">
        <v>55</v>
      </c>
      <c r="B19" s="62" t="s">
        <v>58</v>
      </c>
      <c r="C19" s="55">
        <v>5.0000000000000001E-3</v>
      </c>
      <c r="E19" s="50"/>
      <c r="F19" s="50"/>
      <c r="G19" s="50"/>
      <c r="H19" s="50"/>
      <c r="I19" s="50"/>
      <c r="J19" s="50"/>
      <c r="K19" s="50"/>
    </row>
    <row r="20" spans="1:11" ht="15" customHeight="1" x14ac:dyDescent="0.2">
      <c r="A20" s="51" t="s">
        <v>57</v>
      </c>
      <c r="B20" s="62" t="s">
        <v>60</v>
      </c>
      <c r="C20" s="55">
        <v>2.0000000000000001E-4</v>
      </c>
      <c r="E20" s="50"/>
      <c r="F20" s="50"/>
      <c r="G20" s="50"/>
      <c r="H20" s="50"/>
      <c r="I20" s="50"/>
      <c r="J20" s="50"/>
      <c r="K20" s="50"/>
    </row>
    <row r="21" spans="1:11" ht="14.25" x14ac:dyDescent="0.2">
      <c r="A21" s="51" t="s">
        <v>59</v>
      </c>
      <c r="B21" s="62" t="s">
        <v>61</v>
      </c>
      <c r="C21" s="55">
        <v>1.66E-2</v>
      </c>
      <c r="E21" s="50"/>
      <c r="F21" s="50"/>
      <c r="G21" s="50"/>
      <c r="H21" s="50"/>
      <c r="I21" s="50"/>
      <c r="J21" s="50"/>
      <c r="K21" s="50"/>
    </row>
    <row r="22" spans="1:11" ht="15" x14ac:dyDescent="0.2">
      <c r="A22" s="51" t="s">
        <v>62</v>
      </c>
      <c r="B22" s="57" t="s">
        <v>63</v>
      </c>
      <c r="C22" s="58">
        <f>SUM(C16:C21)</f>
        <v>0.18110000000000001</v>
      </c>
      <c r="E22" s="50"/>
      <c r="F22" s="50"/>
      <c r="G22" s="50"/>
      <c r="H22" s="50"/>
      <c r="I22" s="50"/>
      <c r="J22" s="50"/>
      <c r="K22" s="50"/>
    </row>
    <row r="23" spans="1:11" ht="15" x14ac:dyDescent="0.2">
      <c r="A23" s="59"/>
      <c r="B23" s="60"/>
      <c r="C23" s="61"/>
      <c r="E23" s="50"/>
      <c r="F23" s="50"/>
      <c r="G23" s="50"/>
      <c r="H23" s="50"/>
      <c r="I23" s="50"/>
      <c r="J23" s="50"/>
      <c r="K23" s="50"/>
    </row>
    <row r="24" spans="1:11" ht="14.25" x14ac:dyDescent="0.2">
      <c r="A24" s="51" t="s">
        <v>64</v>
      </c>
      <c r="B24" s="52" t="s">
        <v>65</v>
      </c>
      <c r="C24" s="55">
        <v>1.9E-2</v>
      </c>
      <c r="D24" s="63"/>
      <c r="E24" s="50"/>
      <c r="F24" s="50"/>
      <c r="G24" s="50"/>
      <c r="H24" s="50"/>
      <c r="I24" s="50"/>
      <c r="J24" s="50"/>
      <c r="K24" s="50"/>
    </row>
    <row r="25" spans="1:11" ht="14.25" x14ac:dyDescent="0.2">
      <c r="A25" s="51" t="s">
        <v>90</v>
      </c>
      <c r="B25" s="52" t="s">
        <v>67</v>
      </c>
      <c r="C25" s="55">
        <v>3.61E-2</v>
      </c>
      <c r="E25" s="50"/>
      <c r="F25" s="50"/>
      <c r="G25" s="64"/>
      <c r="H25" s="50"/>
      <c r="I25" s="50"/>
      <c r="J25" s="50"/>
      <c r="K25" s="50"/>
    </row>
    <row r="26" spans="1:11" ht="14.25" x14ac:dyDescent="0.2">
      <c r="A26" s="51" t="s">
        <v>66</v>
      </c>
      <c r="B26" s="52" t="s">
        <v>69</v>
      </c>
      <c r="C26" s="55">
        <v>1.6999999999999999E-3</v>
      </c>
      <c r="E26" s="50"/>
      <c r="F26" s="50"/>
      <c r="G26" s="50"/>
      <c r="H26" s="50"/>
      <c r="I26" s="50"/>
      <c r="J26" s="50"/>
      <c r="K26" s="50"/>
    </row>
    <row r="27" spans="1:11" ht="14.25" x14ac:dyDescent="0.2">
      <c r="A27" s="51" t="s">
        <v>68</v>
      </c>
      <c r="B27" s="52" t="s">
        <v>71</v>
      </c>
      <c r="C27" s="55">
        <v>0.02</v>
      </c>
      <c r="E27" s="50"/>
      <c r="F27" s="65"/>
      <c r="G27" s="50"/>
      <c r="H27" s="50"/>
      <c r="I27" s="50"/>
      <c r="J27" s="50"/>
      <c r="K27" s="50"/>
    </row>
    <row r="28" spans="1:11" ht="14.25" x14ac:dyDescent="0.2">
      <c r="A28" s="51" t="s">
        <v>70</v>
      </c>
      <c r="B28" s="52" t="s">
        <v>72</v>
      </c>
      <c r="C28" s="55">
        <v>1E-3</v>
      </c>
      <c r="E28" s="50"/>
      <c r="F28" s="50"/>
      <c r="G28" s="50"/>
      <c r="H28" s="50"/>
      <c r="I28" s="50"/>
      <c r="J28" s="50"/>
      <c r="K28" s="50"/>
    </row>
    <row r="29" spans="1:11" ht="15" x14ac:dyDescent="0.2">
      <c r="A29" s="51" t="s">
        <v>73</v>
      </c>
      <c r="B29" s="57" t="s">
        <v>74</v>
      </c>
      <c r="C29" s="58">
        <f>SUM(C24:C28)</f>
        <v>7.7799999999999994E-2</v>
      </c>
      <c r="E29" s="50"/>
      <c r="F29" s="50"/>
      <c r="G29" s="50"/>
      <c r="H29" s="50"/>
      <c r="I29" s="50"/>
      <c r="J29" s="50"/>
      <c r="K29" s="50"/>
    </row>
    <row r="30" spans="1:11" ht="15" x14ac:dyDescent="0.2">
      <c r="A30" s="59"/>
      <c r="B30" s="60"/>
      <c r="C30" s="61"/>
      <c r="E30" s="50"/>
      <c r="F30" s="50"/>
      <c r="G30" s="50"/>
      <c r="H30" s="50"/>
      <c r="I30" s="50"/>
      <c r="J30" s="50"/>
      <c r="K30" s="50"/>
    </row>
    <row r="31" spans="1:11" ht="14.25" x14ac:dyDescent="0.2">
      <c r="A31" s="51" t="s">
        <v>75</v>
      </c>
      <c r="B31" s="52" t="s">
        <v>76</v>
      </c>
      <c r="C31" s="180">
        <f>ROUND(C14*C22,4)</f>
        <v>6.6600000000000006E-2</v>
      </c>
      <c r="E31" s="50"/>
      <c r="F31" s="50"/>
      <c r="G31" s="50"/>
      <c r="H31" s="50"/>
      <c r="I31" s="50"/>
      <c r="J31" s="50"/>
      <c r="K31" s="50"/>
    </row>
    <row r="32" spans="1:11" ht="28.5" x14ac:dyDescent="0.2">
      <c r="A32" s="51" t="s">
        <v>77</v>
      </c>
      <c r="B32" s="66" t="s">
        <v>78</v>
      </c>
      <c r="C32" s="180">
        <f>ROUND((C24*C14),4)</f>
        <v>7.0000000000000001E-3</v>
      </c>
      <c r="E32" s="50"/>
      <c r="F32" s="50"/>
      <c r="G32" s="50"/>
      <c r="H32" s="50"/>
      <c r="I32" s="50"/>
      <c r="J32" s="50"/>
      <c r="K32" s="50"/>
    </row>
    <row r="33" spans="1:11" ht="15" x14ac:dyDescent="0.2">
      <c r="A33" s="51" t="s">
        <v>79</v>
      </c>
      <c r="B33" s="57" t="s">
        <v>80</v>
      </c>
      <c r="C33" s="58">
        <f>SUM(C31:C32)</f>
        <v>7.3600000000000013E-2</v>
      </c>
      <c r="E33" s="50"/>
      <c r="F33" s="50"/>
      <c r="G33" s="50"/>
      <c r="H33" s="50"/>
      <c r="I33" s="50"/>
      <c r="J33" s="50"/>
      <c r="K33" s="50"/>
    </row>
    <row r="34" spans="1:11" ht="15.75" thickBot="1" x14ac:dyDescent="0.25">
      <c r="A34" s="68"/>
      <c r="B34" s="69" t="s">
        <v>81</v>
      </c>
      <c r="C34" s="70">
        <f>C33+C29+C22+C14</f>
        <v>0.70050000000000012</v>
      </c>
      <c r="E34" s="50"/>
      <c r="F34" s="50"/>
      <c r="G34" s="50"/>
      <c r="H34" s="50"/>
      <c r="I34" s="50"/>
      <c r="J34" s="50"/>
      <c r="K34" s="50"/>
    </row>
    <row r="35" spans="1:11" ht="45.75" hidden="1" thickBot="1" x14ac:dyDescent="0.25">
      <c r="A35" s="68"/>
      <c r="B35" s="181" t="s">
        <v>126</v>
      </c>
      <c r="C35" s="70">
        <f>C16+C17+C24+C25+C26+C27+C28+C31+C32</f>
        <v>0.30969999999999998</v>
      </c>
      <c r="E35" s="50"/>
      <c r="F35" s="50"/>
      <c r="G35" s="50"/>
      <c r="H35" s="50"/>
      <c r="I35" s="50"/>
      <c r="J35" s="50"/>
      <c r="K35" s="50"/>
    </row>
    <row r="36" spans="1:11" ht="14.25" x14ac:dyDescent="0.2">
      <c r="A36" s="56"/>
      <c r="B36" s="56"/>
      <c r="C36" s="71"/>
      <c r="E36" s="50"/>
      <c r="F36" s="50"/>
      <c r="G36" s="50"/>
      <c r="H36" s="50"/>
      <c r="I36" s="50"/>
      <c r="J36" s="50"/>
      <c r="K36" s="50"/>
    </row>
    <row r="37" spans="1:11" ht="14.25" x14ac:dyDescent="0.2">
      <c r="A37" s="54"/>
      <c r="B37" s="54"/>
      <c r="C37" s="72"/>
      <c r="E37" s="50"/>
      <c r="F37" s="50"/>
      <c r="G37" s="50"/>
      <c r="H37" s="50"/>
      <c r="I37" s="50"/>
      <c r="J37" s="50"/>
      <c r="K37" s="50"/>
    </row>
    <row r="38" spans="1:11" ht="14.25" x14ac:dyDescent="0.2">
      <c r="A38" s="54"/>
      <c r="B38" s="54"/>
      <c r="C38" s="72"/>
      <c r="E38" s="50"/>
      <c r="F38" s="50"/>
      <c r="G38" s="50"/>
      <c r="H38" s="50"/>
      <c r="I38" s="50"/>
      <c r="J38" s="50"/>
      <c r="K38" s="50"/>
    </row>
    <row r="39" spans="1:11" ht="14.25" x14ac:dyDescent="0.2">
      <c r="A39" s="54"/>
      <c r="B39" s="54"/>
      <c r="C39" s="72"/>
      <c r="E39" s="50"/>
      <c r="F39" s="50"/>
      <c r="G39" s="50"/>
      <c r="H39" s="50"/>
      <c r="I39" s="50"/>
      <c r="J39" s="50"/>
      <c r="K39" s="50"/>
    </row>
    <row r="40" spans="1:11" ht="15" x14ac:dyDescent="0.2">
      <c r="A40" s="54"/>
      <c r="B40" s="73"/>
      <c r="C40" s="74"/>
      <c r="E40" s="50"/>
      <c r="F40" s="50"/>
      <c r="G40" s="50"/>
      <c r="H40" s="50"/>
      <c r="I40" s="50"/>
      <c r="J40" s="50"/>
      <c r="K40" s="50"/>
    </row>
    <row r="41" spans="1:11" ht="15" x14ac:dyDescent="0.2">
      <c r="A41" s="67"/>
      <c r="B41" s="73"/>
      <c r="C41" s="74"/>
      <c r="D41" s="50"/>
      <c r="E41" s="50"/>
      <c r="F41" s="50"/>
      <c r="G41" s="50"/>
      <c r="H41" s="50"/>
      <c r="I41" s="50"/>
      <c r="J41" s="50"/>
      <c r="K41" s="50"/>
    </row>
    <row r="42" spans="1:11" ht="16.5" x14ac:dyDescent="0.2">
      <c r="A42" s="75"/>
      <c r="B42" s="50"/>
      <c r="C42" s="50"/>
      <c r="D42" s="50"/>
      <c r="E42" s="50"/>
      <c r="F42" s="50"/>
      <c r="G42" s="50"/>
      <c r="H42" s="50"/>
      <c r="I42" s="50"/>
      <c r="J42" s="50"/>
      <c r="K42" s="50"/>
    </row>
    <row r="43" spans="1:11" x14ac:dyDescent="0.2">
      <c r="A43" s="76"/>
      <c r="B43" s="77"/>
      <c r="C43" s="77"/>
      <c r="D43" s="50"/>
      <c r="E43" s="50"/>
      <c r="F43" s="50"/>
      <c r="G43" s="50"/>
      <c r="H43" s="50"/>
      <c r="I43" s="50"/>
      <c r="J43" s="50"/>
      <c r="K43" s="50"/>
    </row>
    <row r="44" spans="1:11" ht="14.25" x14ac:dyDescent="0.2">
      <c r="A44" s="54"/>
      <c r="B44" s="78"/>
      <c r="C44" s="77"/>
      <c r="D44" s="50"/>
      <c r="E44" s="50"/>
      <c r="F44" s="50"/>
      <c r="G44" s="50"/>
      <c r="H44" s="50"/>
      <c r="I44" s="50"/>
      <c r="J44" s="50"/>
      <c r="K44" s="50"/>
    </row>
    <row r="45" spans="1:11" ht="14.25" x14ac:dyDescent="0.2">
      <c r="A45" s="54"/>
      <c r="B45" s="78"/>
      <c r="C45" s="54"/>
      <c r="D45" s="50"/>
      <c r="E45" s="50"/>
      <c r="F45" s="50"/>
      <c r="G45" s="50"/>
      <c r="H45" s="50"/>
      <c r="I45" s="50"/>
      <c r="J45" s="50"/>
      <c r="K45" s="50"/>
    </row>
    <row r="46" spans="1:11" ht="14.25" x14ac:dyDescent="0.2">
      <c r="A46" s="54"/>
      <c r="B46" s="72"/>
      <c r="C46" s="77"/>
      <c r="D46" s="50"/>
      <c r="E46" s="50"/>
      <c r="F46" s="50"/>
      <c r="G46" s="50"/>
      <c r="H46" s="50"/>
      <c r="I46" s="50"/>
      <c r="J46" s="50"/>
      <c r="K46" s="50"/>
    </row>
    <row r="47" spans="1:11" ht="14.25" x14ac:dyDescent="0.2">
      <c r="A47" s="54"/>
      <c r="B47" s="78"/>
      <c r="C47" s="54"/>
      <c r="D47" s="50"/>
      <c r="E47" s="50"/>
      <c r="F47" s="50"/>
      <c r="G47" s="50"/>
      <c r="H47" s="50"/>
      <c r="I47" s="50"/>
      <c r="J47" s="50"/>
      <c r="K47" s="50"/>
    </row>
    <row r="48" spans="1:11" ht="14.25" x14ac:dyDescent="0.2">
      <c r="A48" s="54"/>
      <c r="B48" s="72"/>
      <c r="C48" s="77"/>
      <c r="D48" s="50"/>
      <c r="E48" s="50"/>
      <c r="F48" s="50"/>
      <c r="G48" s="50"/>
      <c r="H48" s="50"/>
      <c r="I48" s="50"/>
      <c r="J48" s="50"/>
      <c r="K48" s="50"/>
    </row>
    <row r="49" spans="1:11" ht="14.25" x14ac:dyDescent="0.2">
      <c r="A49" s="54"/>
      <c r="B49" s="78"/>
      <c r="C49" s="54"/>
      <c r="D49" s="50"/>
      <c r="E49" s="50"/>
      <c r="F49" s="50"/>
      <c r="G49" s="50"/>
      <c r="H49" s="50"/>
      <c r="I49" s="50"/>
      <c r="J49" s="50"/>
      <c r="K49" s="50"/>
    </row>
    <row r="50" spans="1:11" ht="14.25" x14ac:dyDescent="0.2">
      <c r="A50" s="54"/>
      <c r="B50" s="72"/>
      <c r="C50" s="77"/>
      <c r="D50" s="50"/>
      <c r="E50" s="50"/>
      <c r="F50" s="50"/>
      <c r="G50" s="50"/>
      <c r="H50" s="50"/>
      <c r="I50" s="50"/>
      <c r="J50" s="50"/>
      <c r="K50" s="50"/>
    </row>
    <row r="51" spans="1:11" ht="14.25" x14ac:dyDescent="0.2">
      <c r="A51" s="54"/>
      <c r="B51" s="78"/>
      <c r="C51" s="54"/>
      <c r="D51" s="50"/>
      <c r="E51" s="50"/>
      <c r="F51" s="50"/>
      <c r="G51" s="50"/>
      <c r="H51" s="50"/>
      <c r="I51" s="50"/>
      <c r="J51" s="50"/>
      <c r="K51" s="50"/>
    </row>
    <row r="52" spans="1:11" ht="14.25" x14ac:dyDescent="0.2">
      <c r="A52" s="54"/>
      <c r="B52" s="72"/>
      <c r="C52" s="77"/>
      <c r="D52" s="50"/>
      <c r="E52" s="50"/>
      <c r="F52" s="50"/>
      <c r="G52" s="50"/>
      <c r="H52" s="50"/>
      <c r="I52" s="50"/>
      <c r="J52" s="50"/>
      <c r="K52" s="50"/>
    </row>
    <row r="53" spans="1:11" ht="16.5" x14ac:dyDescent="0.2">
      <c r="A53" s="75"/>
      <c r="B53" s="50"/>
      <c r="C53" s="50"/>
      <c r="D53" s="50"/>
      <c r="E53" s="50"/>
      <c r="F53" s="50"/>
      <c r="G53" s="50"/>
      <c r="H53" s="50"/>
      <c r="I53" s="50"/>
      <c r="J53" s="50"/>
      <c r="K53" s="50"/>
    </row>
    <row r="54" spans="1:1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6" spans="1:11" x14ac:dyDescent="0.2">
      <c r="A56" s="79"/>
      <c r="B56" s="50"/>
      <c r="C56" s="50"/>
      <c r="D56" s="50"/>
      <c r="E56" s="50"/>
      <c r="F56" s="50"/>
      <c r="G56" s="50"/>
      <c r="H56" s="50"/>
      <c r="I56" s="50"/>
      <c r="J56" s="50"/>
      <c r="K56" s="50"/>
    </row>
    <row r="57" spans="1:11" x14ac:dyDescent="0.2">
      <c r="A57" s="50"/>
      <c r="B57" s="50"/>
      <c r="C57" s="50"/>
      <c r="D57" s="50"/>
    </row>
    <row r="58" spans="1:11" x14ac:dyDescent="0.2">
      <c r="A58" s="50"/>
      <c r="B58" s="50"/>
      <c r="C58" s="50"/>
      <c r="D58" s="50"/>
    </row>
    <row r="59" spans="1:11" x14ac:dyDescent="0.2">
      <c r="A59" s="50"/>
      <c r="B59" s="50"/>
      <c r="C59" s="50"/>
      <c r="D59" s="50"/>
    </row>
    <row r="60" spans="1:11" x14ac:dyDescent="0.2">
      <c r="A60" s="50"/>
      <c r="B60" s="50"/>
      <c r="C60" s="50"/>
      <c r="D60" s="50"/>
    </row>
    <row r="61" spans="1:11" x14ac:dyDescent="0.2">
      <c r="A61" s="50"/>
      <c r="B61" s="50"/>
      <c r="C61" s="50"/>
      <c r="D61" s="50"/>
    </row>
    <row r="62" spans="1:11" x14ac:dyDescent="0.2">
      <c r="A62" s="50"/>
      <c r="B62" s="50"/>
      <c r="C62" s="50"/>
      <c r="D62" s="50"/>
    </row>
    <row r="63" spans="1:11" x14ac:dyDescent="0.2">
      <c r="A63" s="50"/>
      <c r="B63" s="50"/>
      <c r="C63" s="50"/>
      <c r="D63" s="50"/>
    </row>
    <row r="64" spans="1:11" x14ac:dyDescent="0.2">
      <c r="A64" s="50"/>
      <c r="B64" s="50"/>
      <c r="C64" s="50"/>
      <c r="D64" s="50"/>
    </row>
    <row r="65" spans="1:4" x14ac:dyDescent="0.2">
      <c r="A65" s="50"/>
      <c r="B65" s="50"/>
      <c r="C65" s="50"/>
      <c r="D65" s="50"/>
    </row>
  </sheetData>
  <mergeCells count="1">
    <mergeCell ref="A4:C4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workbookViewId="0">
      <selection activeCell="A25" sqref="A25:F25"/>
    </sheetView>
  </sheetViews>
  <sheetFormatPr defaultRowHeight="12.75" x14ac:dyDescent="0.2"/>
  <cols>
    <col min="1" max="1" width="41.85546875" bestFit="1" customWidth="1"/>
    <col min="2" max="2" width="10.7109375" customWidth="1"/>
    <col min="3" max="3" width="16" customWidth="1"/>
    <col min="4" max="4" width="9.7109375" hidden="1" customWidth="1"/>
    <col min="5" max="5" width="8" style="36" hidden="1" customWidth="1"/>
    <col min="6" max="6" width="5" hidden="1" customWidth="1"/>
  </cols>
  <sheetData>
    <row r="1" spans="1:8" s="44" customFormat="1" ht="14.25" x14ac:dyDescent="0.2">
      <c r="A1" s="7" t="s">
        <v>87</v>
      </c>
      <c r="B1" s="42"/>
      <c r="C1" s="42"/>
      <c r="E1" s="45"/>
    </row>
    <row r="2" spans="1:8" s="44" customFormat="1" ht="14.25" x14ac:dyDescent="0.2">
      <c r="A2" s="41" t="s">
        <v>95</v>
      </c>
      <c r="B2" s="42"/>
      <c r="C2" s="42"/>
      <c r="E2" s="45"/>
    </row>
    <row r="3" spans="1:8" s="44" customFormat="1" ht="14.25" x14ac:dyDescent="0.2">
      <c r="A3" s="6" t="s">
        <v>88</v>
      </c>
      <c r="B3" s="42"/>
      <c r="C3" s="42"/>
      <c r="E3" s="45"/>
    </row>
    <row r="4" spans="1:8" s="44" customFormat="1" ht="14.25" x14ac:dyDescent="0.2">
      <c r="A4" s="41"/>
      <c r="B4" s="42"/>
      <c r="C4" s="42"/>
      <c r="E4" s="45"/>
    </row>
    <row r="5" spans="1:8" s="44" customFormat="1" ht="15" thickBot="1" x14ac:dyDescent="0.25">
      <c r="B5" s="42"/>
      <c r="C5" s="42"/>
      <c r="E5" s="45"/>
    </row>
    <row r="6" spans="1:8" ht="15.75" x14ac:dyDescent="0.2">
      <c r="A6" s="356" t="s">
        <v>92</v>
      </c>
      <c r="B6" s="357"/>
      <c r="C6" s="357"/>
      <c r="D6" s="357"/>
      <c r="E6" s="357"/>
      <c r="F6" s="358"/>
    </row>
    <row r="7" spans="1:8" ht="16.5" thickBot="1" x14ac:dyDescent="0.25">
      <c r="A7" s="115"/>
      <c r="B7" s="116"/>
      <c r="C7" s="116"/>
      <c r="D7" s="116"/>
      <c r="E7" s="116"/>
      <c r="F7" s="117"/>
    </row>
    <row r="8" spans="1:8" ht="15" x14ac:dyDescent="0.25">
      <c r="A8" s="82"/>
      <c r="B8" s="43"/>
      <c r="C8" s="43"/>
      <c r="D8" s="353" t="s">
        <v>94</v>
      </c>
      <c r="E8" s="354"/>
      <c r="F8" s="355"/>
      <c r="G8" s="44"/>
      <c r="H8" s="44"/>
    </row>
    <row r="9" spans="1:8" ht="15" thickBot="1" x14ac:dyDescent="0.25">
      <c r="A9" s="81"/>
      <c r="B9" s="83"/>
      <c r="C9" s="83"/>
      <c r="D9" s="84" t="s">
        <v>111</v>
      </c>
      <c r="E9" s="85" t="s">
        <v>82</v>
      </c>
      <c r="F9" s="86"/>
      <c r="G9" s="44"/>
      <c r="H9" s="44"/>
    </row>
    <row r="10" spans="1:8" ht="14.25" x14ac:dyDescent="0.2">
      <c r="A10" s="87" t="s">
        <v>19</v>
      </c>
      <c r="B10" s="88" t="s">
        <v>20</v>
      </c>
      <c r="C10" s="89">
        <v>4.4999999999999998E-2</v>
      </c>
      <c r="D10" s="107">
        <v>2.9700000000000001E-2</v>
      </c>
      <c r="E10" s="108">
        <v>5.0799999999999998E-2</v>
      </c>
      <c r="F10" s="109"/>
      <c r="G10" s="44"/>
      <c r="H10" s="44"/>
    </row>
    <row r="11" spans="1:8" ht="14.25" x14ac:dyDescent="0.2">
      <c r="A11" s="91" t="s">
        <v>21</v>
      </c>
      <c r="B11" s="92" t="s">
        <v>22</v>
      </c>
      <c r="C11" s="93">
        <v>5.0000000000000001E-3</v>
      </c>
      <c r="D11" s="107">
        <v>8.6E-3</v>
      </c>
      <c r="E11" s="108">
        <f>0.48%+0.85%</f>
        <v>1.3299999999999999E-2</v>
      </c>
      <c r="F11" s="109"/>
      <c r="G11" s="44"/>
      <c r="H11" s="44"/>
    </row>
    <row r="12" spans="1:8" ht="14.25" x14ac:dyDescent="0.2">
      <c r="A12" s="91" t="s">
        <v>23</v>
      </c>
      <c r="B12" s="92" t="s">
        <v>24</v>
      </c>
      <c r="C12" s="93">
        <v>0.09</v>
      </c>
      <c r="D12" s="107">
        <v>0.05</v>
      </c>
      <c r="E12" s="108">
        <v>0.08</v>
      </c>
      <c r="F12" s="109"/>
      <c r="G12" s="44"/>
      <c r="H12" s="44"/>
    </row>
    <row r="13" spans="1:8" ht="14.25" x14ac:dyDescent="0.2">
      <c r="A13" s="91" t="s">
        <v>25</v>
      </c>
      <c r="B13" s="92" t="s">
        <v>26</v>
      </c>
      <c r="C13" s="93">
        <f>E13/6/12</f>
        <v>1.9444444444444446E-3</v>
      </c>
      <c r="D13" s="107" t="s">
        <v>112</v>
      </c>
      <c r="E13" s="94">
        <v>0.14000000000000001</v>
      </c>
      <c r="F13" s="90"/>
      <c r="G13" s="44"/>
      <c r="H13" s="44"/>
    </row>
    <row r="14" spans="1:8" ht="14.25" x14ac:dyDescent="0.2">
      <c r="A14" s="91" t="s">
        <v>27</v>
      </c>
      <c r="B14" s="351" t="s">
        <v>28</v>
      </c>
      <c r="C14" s="93">
        <v>0.03</v>
      </c>
      <c r="D14" s="119" t="s">
        <v>83</v>
      </c>
      <c r="E14" s="130">
        <v>0.05</v>
      </c>
      <c r="F14" s="95"/>
      <c r="G14" s="44"/>
      <c r="H14" s="44"/>
    </row>
    <row r="15" spans="1:8" ht="15" thickBot="1" x14ac:dyDescent="0.25">
      <c r="A15" s="96" t="s">
        <v>29</v>
      </c>
      <c r="B15" s="352"/>
      <c r="C15" s="97">
        <v>3.6499999999999998E-2</v>
      </c>
      <c r="D15" s="80"/>
      <c r="E15" s="131"/>
      <c r="F15" s="95"/>
      <c r="G15" s="44"/>
      <c r="H15" s="44"/>
    </row>
    <row r="16" spans="1:8" ht="14.25" x14ac:dyDescent="0.2">
      <c r="A16" s="99" t="s">
        <v>30</v>
      </c>
      <c r="B16" s="100"/>
      <c r="C16" s="101"/>
      <c r="D16" s="80"/>
      <c r="E16" s="98"/>
      <c r="F16" s="95"/>
      <c r="G16" s="44"/>
      <c r="H16" s="44"/>
    </row>
    <row r="17" spans="1:8" ht="15" thickBot="1" x14ac:dyDescent="0.25">
      <c r="A17" s="102" t="s">
        <v>31</v>
      </c>
      <c r="B17" s="103"/>
      <c r="C17" s="104"/>
      <c r="D17" s="80"/>
      <c r="E17" s="98"/>
      <c r="F17" s="95"/>
      <c r="G17" s="44"/>
      <c r="H17" s="44"/>
    </row>
    <row r="18" spans="1:8" ht="15.75" thickBot="1" x14ac:dyDescent="0.25">
      <c r="A18" s="105" t="s">
        <v>32</v>
      </c>
      <c r="B18" s="106"/>
      <c r="C18" s="148">
        <f>ROUND((((1+C10+C11)*(1+C12)*(1+C13))/(1-(C14+C15))-1),4)</f>
        <v>0.22839999999999999</v>
      </c>
      <c r="D18" s="110"/>
      <c r="E18" s="111"/>
      <c r="F18" s="112"/>
      <c r="G18" s="44"/>
      <c r="H18" s="44"/>
    </row>
    <row r="19" spans="1:8" ht="14.25" x14ac:dyDescent="0.2">
      <c r="A19" s="44"/>
      <c r="B19" s="44"/>
      <c r="C19" s="44"/>
      <c r="D19" s="44"/>
      <c r="E19" s="45"/>
      <c r="F19" s="44"/>
      <c r="G19" s="44"/>
      <c r="H19" s="44"/>
    </row>
    <row r="20" spans="1:8" ht="14.25" x14ac:dyDescent="0.2">
      <c r="A20" s="359" t="s">
        <v>101</v>
      </c>
      <c r="B20" s="359"/>
      <c r="C20" s="359"/>
      <c r="D20" s="359"/>
      <c r="E20" s="359"/>
      <c r="F20" s="359"/>
      <c r="G20" s="44"/>
      <c r="H20" s="44"/>
    </row>
    <row r="21" spans="1:8" ht="14.25" x14ac:dyDescent="0.2">
      <c r="A21" s="359" t="s">
        <v>102</v>
      </c>
      <c r="B21" s="359"/>
      <c r="C21" s="359"/>
      <c r="D21" s="359"/>
      <c r="E21" s="359"/>
      <c r="F21" s="359"/>
      <c r="G21" s="44"/>
      <c r="H21" s="44"/>
    </row>
    <row r="22" spans="1:8" ht="14.25" x14ac:dyDescent="0.2">
      <c r="A22" s="359" t="s">
        <v>103</v>
      </c>
      <c r="B22" s="359"/>
      <c r="C22" s="359"/>
      <c r="D22" s="359"/>
      <c r="E22" s="359"/>
      <c r="F22" s="359"/>
      <c r="G22" s="44"/>
      <c r="H22" s="44"/>
    </row>
    <row r="23" spans="1:8" ht="14.25" x14ac:dyDescent="0.2">
      <c r="A23" s="359" t="s">
        <v>104</v>
      </c>
      <c r="B23" s="359"/>
      <c r="C23" s="359"/>
      <c r="D23" s="359"/>
      <c r="E23" s="359"/>
      <c r="F23" s="359"/>
    </row>
    <row r="24" spans="1:8" ht="14.25" x14ac:dyDescent="0.2">
      <c r="A24" s="359" t="s">
        <v>105</v>
      </c>
      <c r="B24" s="359"/>
      <c r="C24" s="359"/>
      <c r="D24" s="359"/>
      <c r="E24" s="359"/>
      <c r="F24" s="359"/>
    </row>
    <row r="25" spans="1:8" ht="14.25" x14ac:dyDescent="0.2">
      <c r="A25" s="359" t="s">
        <v>106</v>
      </c>
      <c r="B25" s="359"/>
      <c r="C25" s="359"/>
      <c r="D25" s="359"/>
      <c r="E25" s="359"/>
      <c r="F25" s="359"/>
    </row>
    <row r="26" spans="1:8" ht="14.25" x14ac:dyDescent="0.2">
      <c r="A26" s="359" t="s">
        <v>107</v>
      </c>
      <c r="B26" s="359"/>
      <c r="C26" s="359"/>
      <c r="D26" s="359"/>
      <c r="E26" s="359"/>
      <c r="F26" s="359"/>
    </row>
    <row r="27" spans="1:8" ht="14.25" x14ac:dyDescent="0.2">
      <c r="A27" s="360"/>
      <c r="B27" s="360"/>
      <c r="C27" s="360"/>
      <c r="D27" s="360"/>
      <c r="E27" s="360"/>
      <c r="F27" s="360"/>
    </row>
  </sheetData>
  <mergeCells count="11">
    <mergeCell ref="A27:F27"/>
    <mergeCell ref="A22:F22"/>
    <mergeCell ref="A23:F23"/>
    <mergeCell ref="A24:F24"/>
    <mergeCell ref="A25:F25"/>
    <mergeCell ref="A26:F26"/>
    <mergeCell ref="B14:B15"/>
    <mergeCell ref="D8:F8"/>
    <mergeCell ref="A6:F6"/>
    <mergeCell ref="A20:F20"/>
    <mergeCell ref="A21:F2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Resumo </vt:lpstr>
      <vt:lpstr>1. Serv. Gerais</vt:lpstr>
      <vt:lpstr>2. Serv. Gerai 12 x 36</vt:lpstr>
      <vt:lpstr>3.Encargos Sociais</vt:lpstr>
      <vt:lpstr>4.BDI</vt:lpstr>
      <vt:lpstr>'1. Serv. Gerais'!Area_de_impressao</vt:lpstr>
      <vt:lpstr>'2. Serv. Gerai 12 x 36'!Area_de_impressao</vt:lpstr>
      <vt:lpstr>'3.Encargos Sociais'!Area_de_impressao</vt:lpstr>
      <vt:lpstr>'1. Serv. Gerais'!Titulos_de_impressao</vt:lpstr>
      <vt:lpstr>'2. Serv. Gerai 12 x 36'!Titulos_de_impressao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Limpeza Saúde</dc:title>
  <dc:creator>Edgar</dc:creator>
  <cp:lastModifiedBy>Adriana Roveda</cp:lastModifiedBy>
  <cp:lastPrinted>2026-04-29T13:34:09Z</cp:lastPrinted>
  <dcterms:created xsi:type="dcterms:W3CDTF">2000-12-13T10:02:50Z</dcterms:created>
  <dcterms:modified xsi:type="dcterms:W3CDTF">2026-05-05T14:32:03Z</dcterms:modified>
</cp:coreProperties>
</file>